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195" yWindow="120" windowWidth="13020" windowHeight="12270" firstSheet="13" activeTab="15"/>
  </bookViews>
  <sheets>
    <sheet name="0000000" sheetId="1" state="veryHidden" r:id="rId1"/>
    <sheet name="2018年一般公共预算收入执行情况表" sheetId="2" r:id="rId2"/>
    <sheet name="2018年一般公共预算支出执行情况表" sheetId="3" r:id="rId3"/>
    <sheet name="2018年滨江区一般公共预算支出明细表" sheetId="4" r:id="rId4"/>
    <sheet name="2018年一般公共预算基本支出明细表" sheetId="5" r:id="rId5"/>
    <sheet name="2018年一般公共预算收支平衡表" sheetId="6" r:id="rId6"/>
    <sheet name="2018年税收返还和一般性转移支付执行情况表" sheetId="7" r:id="rId7"/>
    <sheet name="2018年省市专项转移支付执行情况表" sheetId="8" r:id="rId8"/>
    <sheet name="2019年一般公共预算收入预期表" sheetId="9" r:id="rId9"/>
    <sheet name="2019年一般公共预算支出预算表" sheetId="10" r:id="rId10"/>
    <sheet name="2019年滨江区一般公共预算支出明细表" sheetId="11" r:id="rId11"/>
    <sheet name="2019年一般公共预算基本支出明细表" sheetId="12" r:id="rId12"/>
    <sheet name="2019年一般公共预算收支平衡表" sheetId="13" r:id="rId13"/>
    <sheet name="2019年税收返还和一般性转移支付预算情况表" sheetId="14" r:id="rId14"/>
    <sheet name="2019年省市专项转移支付预算情况表" sheetId="15" r:id="rId15"/>
    <sheet name="2018年一般债务限额及余额" sheetId="16" r:id="rId16"/>
    <sheet name="2019年一般债务余额" sheetId="17" r:id="rId17"/>
    <sheet name="Sheet3" sheetId="18" r:id="rId18"/>
  </sheets>
  <definedNames>
    <definedName name="_xlnm.Print_Area" localSheetId="9">'2019年一般公共预算支出预算表'!$A$1:$D$30</definedName>
  </definedNames>
  <calcPr fullCalcOnLoad="1"/>
</workbook>
</file>

<file path=xl/comments3.xml><?xml version="1.0" encoding="utf-8"?>
<comments xmlns="http://schemas.openxmlformats.org/spreadsheetml/2006/main">
  <authors>
    <author>企业科02</author>
  </authors>
  <commentList>
    <comment ref="B7" authorId="0">
      <text>
        <r>
          <rPr>
            <b/>
            <sz val="9"/>
            <rFont val="宋体"/>
            <family val="0"/>
          </rPr>
          <t>企业科</t>
        </r>
        <r>
          <rPr>
            <b/>
            <sz val="9"/>
            <rFont val="Tahoma"/>
            <family val="2"/>
          </rPr>
          <t>02: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 xml:space="preserve">消防
</t>
        </r>
        <r>
          <rPr>
            <sz val="9"/>
            <rFont val="Tahoma"/>
            <family val="2"/>
          </rPr>
          <t>1396.45</t>
        </r>
        <r>
          <rPr>
            <sz val="9"/>
            <rFont val="宋体"/>
            <family val="0"/>
          </rPr>
          <t>万</t>
        </r>
      </text>
    </comment>
    <comment ref="B16" authorId="0">
      <text>
        <r>
          <rPr>
            <b/>
            <sz val="9"/>
            <rFont val="宋体"/>
            <family val="0"/>
          </rPr>
          <t>企业科</t>
        </r>
        <r>
          <rPr>
            <b/>
            <sz val="9"/>
            <rFont val="Tahoma"/>
            <family val="2"/>
          </rPr>
          <t>02: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安监局</t>
        </r>
        <r>
          <rPr>
            <sz val="9"/>
            <rFont val="Tahoma"/>
            <family val="2"/>
          </rPr>
          <t xml:space="preserve"> 
658.43</t>
        </r>
        <r>
          <rPr>
            <sz val="9"/>
            <rFont val="宋体"/>
            <family val="0"/>
          </rPr>
          <t xml:space="preserve">万
</t>
        </r>
      </text>
    </comment>
  </commentList>
</comments>
</file>

<file path=xl/sharedStrings.xml><?xml version="1.0" encoding="utf-8"?>
<sst xmlns="http://schemas.openxmlformats.org/spreadsheetml/2006/main" count="1139" uniqueCount="785">
  <si>
    <t>单位：万元</t>
  </si>
  <si>
    <t>项  目</t>
  </si>
  <si>
    <t>比上年%</t>
  </si>
  <si>
    <t>一、税收收入</t>
  </si>
  <si>
    <t>二、非税收入</t>
  </si>
  <si>
    <t>1、专项收入</t>
  </si>
  <si>
    <t>项   目</t>
  </si>
  <si>
    <t>财政总收入合计</t>
  </si>
  <si>
    <t>单位：万元</t>
  </si>
  <si>
    <t>省市专款支出</t>
  </si>
  <si>
    <t>区级支出小计</t>
  </si>
  <si>
    <t>2、公共安全支出</t>
  </si>
  <si>
    <t>4、科学技术支出</t>
  </si>
  <si>
    <t>6、社会保障和就业支出</t>
  </si>
  <si>
    <t>8、节能环保支出</t>
  </si>
  <si>
    <t>11、资源勘探信息等支出</t>
  </si>
  <si>
    <t>附表五</t>
  </si>
  <si>
    <t>地方一般公共预算收入小计</t>
  </si>
  <si>
    <t>9、城乡社区支出</t>
  </si>
  <si>
    <t>10、农林水支出</t>
  </si>
  <si>
    <t>合    计</t>
  </si>
  <si>
    <t>附表二</t>
  </si>
  <si>
    <t>为预算%</t>
  </si>
  <si>
    <t>1、一般公共服务支出</t>
  </si>
  <si>
    <t>2、企业所得税40%部分</t>
  </si>
  <si>
    <t>3、个人所得税40%部分</t>
  </si>
  <si>
    <t>4、城市维护建设税</t>
  </si>
  <si>
    <t>5、其他税收</t>
  </si>
  <si>
    <t>附表一</t>
  </si>
  <si>
    <t>为预期%</t>
  </si>
  <si>
    <t>一般公共预算收入小计</t>
  </si>
  <si>
    <t>中央税收小计</t>
  </si>
  <si>
    <t>1、增值税50%部分</t>
  </si>
  <si>
    <t>政府债券安排的城乡社区支出</t>
  </si>
  <si>
    <t>政府债券安排的城乡社区支出</t>
  </si>
  <si>
    <t>12、援助其他地区支出</t>
  </si>
  <si>
    <t>14、住房保障支出</t>
  </si>
  <si>
    <r>
      <t>3</t>
    </r>
    <r>
      <rPr>
        <sz val="12"/>
        <rFont val="宋体"/>
        <family val="0"/>
      </rPr>
      <t>、教育支出</t>
    </r>
  </si>
  <si>
    <t>附表六</t>
  </si>
  <si>
    <t>金额</t>
  </si>
  <si>
    <t>收    入</t>
  </si>
  <si>
    <t>支    出</t>
  </si>
  <si>
    <t>其中：一般公共预算收入</t>
  </si>
  <si>
    <t>其中：一般公共预算支出（本级）</t>
  </si>
  <si>
    <t xml:space="preserve">      税收返还</t>
  </si>
  <si>
    <t xml:space="preserve">      省市补助（转移支付）</t>
  </si>
  <si>
    <t>其中：专项结转</t>
  </si>
  <si>
    <t>合  计</t>
  </si>
  <si>
    <t xml:space="preserve">      预算周转金</t>
  </si>
  <si>
    <t>合计</t>
  </si>
  <si>
    <t>科目名称</t>
  </si>
  <si>
    <t>支出数</t>
  </si>
  <si>
    <t>附表七</t>
  </si>
  <si>
    <t>附表八</t>
  </si>
  <si>
    <t>附表九</t>
  </si>
  <si>
    <t>附表十</t>
  </si>
  <si>
    <t>2018年滨江区一般公共预算收支平衡表</t>
  </si>
  <si>
    <t>其中：省市专款支出数</t>
  </si>
  <si>
    <t>上年结转</t>
  </si>
  <si>
    <t>本年结转</t>
  </si>
  <si>
    <t>一般公共服务支出</t>
  </si>
  <si>
    <t xml:space="preserve">  群众团体事务</t>
  </si>
  <si>
    <t xml:space="preserve">    科技型中小企业技术创新基金</t>
  </si>
  <si>
    <t xml:space="preserve">  支持中小企业发展和管理支出</t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</si>
  <si>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</si>
  <si>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</si>
  <si>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</si>
  <si>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</si>
  <si>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</si>
  <si>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</si>
  <si>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职业年金缴费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</si>
  <si>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</si>
  <si>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</si>
  <si>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</si>
  <si>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</si>
  <si>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</si>
  <si>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经济类科目名称</t>
  </si>
  <si>
    <t>基本支出</t>
  </si>
  <si>
    <t>合  计</t>
  </si>
  <si>
    <t>人员经费</t>
  </si>
  <si>
    <t>公用经费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</si>
  <si>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</si>
  <si>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</si>
  <si>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</si>
  <si>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</si>
  <si>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</si>
  <si>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</si>
  <si>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</si>
  <si>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</si>
  <si>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</si>
  <si>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</si>
  <si>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</si>
  <si>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</si>
  <si>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</si>
  <si>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</si>
  <si>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</si>
  <si>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</si>
  <si>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</si>
  <si>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</si>
  <si>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</si>
  <si>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</si>
  <si>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</si>
  <si>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</si>
  <si>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</si>
  <si>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</si>
  <si>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</si>
  <si>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</si>
  <si>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</si>
  <si>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>对个人和家庭的补助</t>
  </si>
  <si>
    <t xml:space="preserve">  退休费</t>
  </si>
  <si>
    <t xml:space="preserve">  生活补助</t>
  </si>
  <si>
    <t xml:space="preserve">  奖励金</t>
  </si>
  <si>
    <t xml:space="preserve">  其他对个人和家庭的补助支出</t>
  </si>
  <si>
    <t>资本性支出</t>
  </si>
  <si>
    <t xml:space="preserve">  办公设备购置</t>
  </si>
  <si>
    <t xml:space="preserve">  专用设备购置</t>
  </si>
  <si>
    <t>2018年滨江区一般公共预算收入执行情况表</t>
  </si>
  <si>
    <r>
      <t>2017</t>
    </r>
    <r>
      <rPr>
        <sz val="12"/>
        <rFont val="宋体"/>
        <family val="0"/>
      </rPr>
      <t>年实绩数</t>
    </r>
  </si>
  <si>
    <r>
      <t>2018</t>
    </r>
    <r>
      <rPr>
        <sz val="12"/>
        <rFont val="宋体"/>
        <family val="0"/>
      </rPr>
      <t>年实绩数</t>
    </r>
  </si>
  <si>
    <r>
      <t>2018</t>
    </r>
    <r>
      <rPr>
        <sz val="12"/>
        <rFont val="宋体"/>
        <family val="0"/>
      </rPr>
      <t>年预期数</t>
    </r>
  </si>
  <si>
    <r>
      <t>2018</t>
    </r>
    <r>
      <rPr>
        <sz val="12"/>
        <rFont val="宋体"/>
        <family val="0"/>
      </rPr>
      <t>年预算数</t>
    </r>
  </si>
  <si>
    <t>2018年滨江区一般公共预算支出执行情况表</t>
  </si>
  <si>
    <t>2019年滨江区一般公共预算收入预期表</t>
  </si>
  <si>
    <r>
      <t>2019</t>
    </r>
    <r>
      <rPr>
        <sz val="12"/>
        <rFont val="宋体"/>
        <family val="0"/>
      </rPr>
      <t>年预期数</t>
    </r>
  </si>
  <si>
    <t>2019年滨江区一般公共预算支出预算表</t>
  </si>
  <si>
    <t>2019年滨江区一般公共预算收支平衡表</t>
  </si>
  <si>
    <t>2、罚没收入</t>
  </si>
  <si>
    <t>3、国有资源（资产）有偿使用收入</t>
  </si>
  <si>
    <t>3、国有资源（资产）有偿使用收入</t>
  </si>
  <si>
    <t>5、文化旅游体育与传媒支出</t>
  </si>
  <si>
    <t>7、卫生健康支出</t>
  </si>
  <si>
    <r>
      <t>1</t>
    </r>
    <r>
      <rPr>
        <sz val="12"/>
        <rFont val="宋体"/>
        <family val="0"/>
      </rPr>
      <t>5</t>
    </r>
    <r>
      <rPr>
        <sz val="12"/>
        <rFont val="宋体"/>
        <family val="0"/>
      </rPr>
      <t>、住房保障支出</t>
    </r>
  </si>
  <si>
    <r>
      <t>17</t>
    </r>
    <r>
      <rPr>
        <sz val="12"/>
        <rFont val="宋体"/>
        <family val="0"/>
      </rPr>
      <t>、预备费</t>
    </r>
  </si>
  <si>
    <r>
      <t>18</t>
    </r>
    <r>
      <rPr>
        <sz val="12"/>
        <rFont val="宋体"/>
        <family val="0"/>
      </rPr>
      <t>、其他支出</t>
    </r>
  </si>
  <si>
    <r>
      <t>19</t>
    </r>
    <r>
      <rPr>
        <sz val="12"/>
        <rFont val="宋体"/>
        <family val="0"/>
      </rPr>
      <t>、债务付息支出</t>
    </r>
  </si>
  <si>
    <r>
      <t>20</t>
    </r>
    <r>
      <rPr>
        <sz val="12"/>
        <rFont val="宋体"/>
        <family val="0"/>
      </rPr>
      <t>、债务发行费用支出</t>
    </r>
  </si>
  <si>
    <t>商业服务业等支出</t>
  </si>
  <si>
    <t>灾害防治及应急管理支出</t>
  </si>
  <si>
    <t xml:space="preserve">2019年滨江区一般公共预算基本支出明细表 </t>
  </si>
  <si>
    <t>5、文化体育与传媒支出</t>
  </si>
  <si>
    <t>7、医疗卫生与计划生育支出</t>
  </si>
  <si>
    <t>11、资源勘探信息等支出</t>
  </si>
  <si>
    <t>12、援助其他地区支出</t>
  </si>
  <si>
    <t>13、国土海洋气象等支出</t>
  </si>
  <si>
    <t>13、自然资源海洋气象等支出</t>
  </si>
  <si>
    <t xml:space="preserve">    事业运行</t>
  </si>
  <si>
    <t xml:space="preserve">  人大事务</t>
  </si>
  <si>
    <t xml:space="preserve">    人大会议</t>
  </si>
  <si>
    <t xml:space="preserve">    代表工作</t>
  </si>
  <si>
    <t xml:space="preserve">  政协事务</t>
  </si>
  <si>
    <t xml:space="preserve">    政协会议</t>
  </si>
  <si>
    <t xml:space="preserve">    委员视察</t>
  </si>
  <si>
    <t xml:space="preserve">  政府办公厅（室）及相关机构事务</t>
  </si>
  <si>
    <t xml:space="preserve">    专项业务活动</t>
  </si>
  <si>
    <t xml:space="preserve">    信访事务</t>
  </si>
  <si>
    <t xml:space="preserve">  发展与改革事务</t>
  </si>
  <si>
    <t xml:space="preserve">    其他发展与改革事务支出</t>
  </si>
  <si>
    <t xml:space="preserve">  统计信息事务</t>
  </si>
  <si>
    <t xml:space="preserve">    专项普查活动</t>
  </si>
  <si>
    <t xml:space="preserve">  财政事务</t>
  </si>
  <si>
    <t xml:space="preserve">    财政委托业务支出</t>
  </si>
  <si>
    <t xml:space="preserve">  审计事务</t>
  </si>
  <si>
    <t xml:space="preserve">    审计业务</t>
  </si>
  <si>
    <t xml:space="preserve">  纪检监察事务</t>
  </si>
  <si>
    <t xml:space="preserve">  商贸事务</t>
  </si>
  <si>
    <t xml:space="preserve">  民族事务</t>
  </si>
  <si>
    <t xml:space="preserve">    其他民族事务支出</t>
  </si>
  <si>
    <t xml:space="preserve">  民主党派及工商联事务</t>
  </si>
  <si>
    <t xml:space="preserve">    其他民主党派及工商联事务支出</t>
  </si>
  <si>
    <t xml:space="preserve">  组织事务</t>
  </si>
  <si>
    <t xml:space="preserve">  宣传事务</t>
  </si>
  <si>
    <t xml:space="preserve">  统战事务</t>
  </si>
  <si>
    <t xml:space="preserve">    其他统战事务支出</t>
  </si>
  <si>
    <t xml:space="preserve">  其他共产党事务支出</t>
  </si>
  <si>
    <t xml:space="preserve">  市场监督管理事务</t>
  </si>
  <si>
    <t xml:space="preserve">    市场监督管理专项</t>
  </si>
  <si>
    <t xml:space="preserve">    市场监管执法</t>
  </si>
  <si>
    <t xml:space="preserve">    消费者权益保护</t>
  </si>
  <si>
    <t xml:space="preserve">    市场监督管理技术支持</t>
  </si>
  <si>
    <t xml:space="preserve">    标准化管理</t>
  </si>
  <si>
    <t>公共安全支出</t>
  </si>
  <si>
    <t xml:space="preserve">  公安</t>
  </si>
  <si>
    <t xml:space="preserve">    执法办案</t>
  </si>
  <si>
    <t xml:space="preserve">    其他公安支出</t>
  </si>
  <si>
    <t xml:space="preserve">  检察</t>
  </si>
  <si>
    <t xml:space="preserve">    检察监督</t>
  </si>
  <si>
    <t xml:space="preserve">  法院</t>
  </si>
  <si>
    <t xml:space="preserve">    案件审判</t>
  </si>
  <si>
    <t xml:space="preserve">    “两庭”建设</t>
  </si>
  <si>
    <t xml:space="preserve">  司法</t>
  </si>
  <si>
    <t xml:space="preserve">    基层司法业务</t>
  </si>
  <si>
    <t xml:space="preserve">    法律援助</t>
  </si>
  <si>
    <t xml:space="preserve">    社区矫正</t>
  </si>
  <si>
    <t>教育支出</t>
  </si>
  <si>
    <t xml:space="preserve">  教育管理事务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</si>
  <si>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</si>
  <si>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</si>
  <si>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</si>
  <si>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</si>
  <si>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其他普通教育支出</t>
  </si>
  <si>
    <t xml:space="preserve">  成人教育</t>
  </si>
  <si>
    <t xml:space="preserve">    成人中等教育</t>
  </si>
  <si>
    <t xml:space="preserve">  进修及培训</t>
  </si>
  <si>
    <t xml:space="preserve">    教师进修</t>
  </si>
  <si>
    <t xml:space="preserve">  教育费附加安排的支出</t>
  </si>
  <si>
    <t xml:space="preserve">    城市中小学校舍建设（教育费附加安排的支出）</t>
  </si>
  <si>
    <t xml:space="preserve">  其他教育支出</t>
  </si>
  <si>
    <t xml:space="preserve">    其他教育支出</t>
  </si>
  <si>
    <t>科学技术支出</t>
  </si>
  <si>
    <t xml:space="preserve">  科学技术管理事务</t>
  </si>
  <si>
    <t xml:space="preserve">    其他科学技术管理事务支出</t>
  </si>
  <si>
    <t xml:space="preserve">  技术研究与开发</t>
  </si>
  <si>
    <t xml:space="preserve">    产业技术研究与开发</t>
  </si>
  <si>
    <t xml:space="preserve">  科学技术普及</t>
  </si>
  <si>
    <t xml:space="preserve">    科普活动</t>
  </si>
  <si>
    <t xml:space="preserve">    其他科学技术普及支出</t>
  </si>
  <si>
    <t>文化旅游体育与传媒支出</t>
  </si>
  <si>
    <t xml:space="preserve">  文化和旅游</t>
  </si>
  <si>
    <t xml:space="preserve">    图书馆</t>
  </si>
  <si>
    <t xml:space="preserve">    文化活动</t>
  </si>
  <si>
    <t xml:space="preserve">    群众文化</t>
  </si>
  <si>
    <t xml:space="preserve">    文化和旅游市场管理</t>
  </si>
  <si>
    <t xml:space="preserve">    其他文化和旅游支出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</si>
  <si>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</si>
  <si>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</si>
  <si>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</si>
  <si>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</si>
  <si>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群众体育</t>
  </si>
  <si>
    <t xml:space="preserve">  新闻出版电影</t>
  </si>
  <si>
    <t xml:space="preserve">    新闻通讯</t>
  </si>
  <si>
    <t xml:space="preserve">  其他文化体育与传媒支出</t>
  </si>
  <si>
    <t xml:space="preserve">    其他文化体育与传媒支出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</si>
  <si>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</si>
  <si>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</si>
  <si>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</si>
  <si>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</si>
  <si>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</si>
  <si>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</si>
  <si>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公共就业服务和职业技能鉴定机构</t>
  </si>
  <si>
    <t xml:space="preserve">    劳动人事争议调节仲裁</t>
  </si>
  <si>
    <t xml:space="preserve">    其他人力资源和社会保障管理事务支出</t>
  </si>
  <si>
    <t xml:space="preserve">  民政管理事务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</si>
  <si>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</si>
  <si>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</si>
  <si>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</si>
  <si>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其他民政管理事务支出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</si>
  <si>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</si>
  <si>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</si>
  <si>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</si>
  <si>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机关事业单位基本养老保险缴费支出</t>
  </si>
  <si>
    <t xml:space="preserve">    机关事业单位职业年金缴费支出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</si>
  <si>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</si>
  <si>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</si>
  <si>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</si>
  <si>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</si>
  <si>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义务兵优待</t>
  </si>
  <si>
    <t xml:space="preserve">    其他优抚支出</t>
  </si>
  <si>
    <t xml:space="preserve">  退役安置</t>
  </si>
  <si>
    <t xml:space="preserve">    退役士兵安置</t>
  </si>
  <si>
    <t xml:space="preserve">    退役士兵管理教育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</si>
  <si>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</si>
  <si>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</si>
  <si>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</si>
  <si>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</si>
  <si>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</si>
  <si>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</si>
  <si>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</si>
  <si>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</si>
  <si>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</si>
  <si>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</si>
  <si>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</si>
  <si>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残疾人生活和护理补贴</t>
  </si>
  <si>
    <t xml:space="preserve">    其他残疾人事业支出</t>
  </si>
  <si>
    <t xml:space="preserve">  最低生活保障</t>
  </si>
  <si>
    <t xml:space="preserve">    城市最低生活保障金支出</t>
  </si>
  <si>
    <t xml:space="preserve">  临时救助</t>
  </si>
  <si>
    <t xml:space="preserve">    流浪乞讨人员救助支出</t>
  </si>
  <si>
    <t xml:space="preserve">  其他生活救助</t>
  </si>
  <si>
    <t xml:space="preserve">    其他城市生活救助</t>
  </si>
  <si>
    <t xml:space="preserve">  其他社会保障和就业支出</t>
  </si>
  <si>
    <t xml:space="preserve">    其他社会保障和就业支出</t>
  </si>
  <si>
    <t>卫生健康支出</t>
  </si>
  <si>
    <t xml:space="preserve">    其他卫生健康管理事务支出</t>
  </si>
  <si>
    <t xml:space="preserve">  基层医疗卫生机构</t>
  </si>
  <si>
    <t xml:space="preserve">    城市社区卫生机构</t>
  </si>
  <si>
    <t xml:space="preserve">  公共卫生</t>
  </si>
  <si>
    <t xml:space="preserve">    疾病预防控制机构</t>
  </si>
  <si>
    <t xml:space="preserve">    卫生监督机构</t>
  </si>
  <si>
    <t xml:space="preserve">    采供血机构</t>
  </si>
  <si>
    <t xml:space="preserve">    基本公共卫生服务</t>
  </si>
  <si>
    <t xml:space="preserve">    其他公共卫生支出</t>
  </si>
  <si>
    <t xml:space="preserve">  计划生育事务</t>
  </si>
  <si>
    <t xml:space="preserve">    其他计划生育事务支出</t>
  </si>
  <si>
    <t xml:space="preserve">  行政事业单位医疗</t>
  </si>
  <si>
    <t xml:space="preserve">    行政单位医疗</t>
  </si>
  <si>
    <t xml:space="preserve">    事业单位医疗</t>
  </si>
  <si>
    <t xml:space="preserve">  其他卫生健康支出</t>
  </si>
  <si>
    <t xml:space="preserve">    其他卫生健康支出</t>
  </si>
  <si>
    <t>节能环保支出</t>
  </si>
  <si>
    <t xml:space="preserve">  环境保护管理事务</t>
  </si>
  <si>
    <t xml:space="preserve">    其他环境保护管理事务支出</t>
  </si>
  <si>
    <t xml:space="preserve">  环境监测与监察</t>
  </si>
  <si>
    <t xml:space="preserve">    其他环境监测与监察支出</t>
  </si>
  <si>
    <t xml:space="preserve">  污染防治</t>
  </si>
  <si>
    <t xml:space="preserve">    其他污染防治支出</t>
  </si>
  <si>
    <t xml:space="preserve">  其他节能环保支出</t>
  </si>
  <si>
    <t xml:space="preserve">    其他节能环保支出</t>
  </si>
  <si>
    <t>城乡社区支出</t>
  </si>
  <si>
    <t xml:space="preserve">  城乡社区管理事务</t>
  </si>
  <si>
    <t xml:space="preserve">    城管执法</t>
  </si>
  <si>
    <t xml:space="preserve">    工程建设管理</t>
  </si>
  <si>
    <t xml:space="preserve">    住宅建设与房地产市场监管</t>
  </si>
  <si>
    <t xml:space="preserve">    其他城乡社区管理事务支出</t>
  </si>
  <si>
    <t xml:space="preserve">  城乡社区规划与管理</t>
  </si>
  <si>
    <t xml:space="preserve">    城乡社区规划与管理</t>
  </si>
  <si>
    <t xml:space="preserve">  城乡社区公共设施</t>
  </si>
  <si>
    <t xml:space="preserve">    其他城乡社区公共设施支出</t>
  </si>
  <si>
    <t xml:space="preserve">  城乡社区环境卫生</t>
  </si>
  <si>
    <t xml:space="preserve">    城乡社区环境卫生</t>
  </si>
  <si>
    <t xml:space="preserve">  其他城乡社区支出</t>
  </si>
  <si>
    <t xml:space="preserve">    其他城乡社区支出</t>
  </si>
  <si>
    <t>农林水支出</t>
  </si>
  <si>
    <t xml:space="preserve">  农业</t>
  </si>
  <si>
    <t xml:space="preserve">    病虫害控制</t>
  </si>
  <si>
    <t xml:space="preserve">    农产品质量安全</t>
  </si>
  <si>
    <t xml:space="preserve">    防灾救灾</t>
  </si>
  <si>
    <t xml:space="preserve">    农业生产支持补贴</t>
  </si>
  <si>
    <t xml:space="preserve">    农业组织化与产业化经营</t>
  </si>
  <si>
    <t xml:space="preserve">  林业和草原</t>
  </si>
  <si>
    <t xml:space="preserve">    森林生态效益补偿</t>
  </si>
  <si>
    <t xml:space="preserve">  水利</t>
  </si>
  <si>
    <t xml:space="preserve">    水利工程运行与维护</t>
  </si>
  <si>
    <t xml:space="preserve">    水土保持（水利）</t>
  </si>
  <si>
    <t xml:space="preserve">  其他农林水支出</t>
  </si>
  <si>
    <t xml:space="preserve">    其他农林水支出</t>
  </si>
  <si>
    <t>资源勘探信息等支出</t>
  </si>
  <si>
    <t xml:space="preserve">    其他支持中小企业发展和管理支出</t>
  </si>
  <si>
    <t xml:space="preserve">  其他资源勘探信息等支出</t>
  </si>
  <si>
    <t xml:space="preserve">    其他资源勘探信息等支出</t>
  </si>
  <si>
    <t xml:space="preserve">  其他商业服务业等支出</t>
  </si>
  <si>
    <t xml:space="preserve">    其他商业服务业等支出</t>
  </si>
  <si>
    <t>援助其他地区支出</t>
  </si>
  <si>
    <t xml:space="preserve">  其他支出（援助其他地区支出）</t>
  </si>
  <si>
    <t>自然资源海洋气象支出</t>
  </si>
  <si>
    <t xml:space="preserve">  自然资源事务</t>
  </si>
  <si>
    <t xml:space="preserve">  海洋管理事务</t>
  </si>
  <si>
    <t>住房保障支出</t>
  </si>
  <si>
    <t xml:space="preserve">  住房改革支出</t>
  </si>
  <si>
    <t xml:space="preserve">    住房公积金</t>
  </si>
  <si>
    <t xml:space="preserve">    购房补贴</t>
  </si>
  <si>
    <t xml:space="preserve">  应急管理事务</t>
  </si>
  <si>
    <t xml:space="preserve">    安全监管</t>
  </si>
  <si>
    <t>预备费</t>
  </si>
  <si>
    <t>其他支出</t>
  </si>
  <si>
    <t xml:space="preserve">  年初预留</t>
  </si>
  <si>
    <t xml:space="preserve">  其他支出</t>
  </si>
  <si>
    <t xml:space="preserve">    其他支出</t>
  </si>
  <si>
    <t>债务付息支出</t>
  </si>
  <si>
    <t xml:space="preserve">  地方政府一般债务付息支出</t>
  </si>
  <si>
    <t xml:space="preserve">    地方政府一般债券付息支出</t>
  </si>
  <si>
    <t>债务发行费用支出</t>
  </si>
  <si>
    <t xml:space="preserve">  地方政府一般债务发行费用支出</t>
  </si>
  <si>
    <t xml:space="preserve">  伙食补助费</t>
  </si>
  <si>
    <t xml:space="preserve">  抚恤金</t>
  </si>
  <si>
    <t xml:space="preserve">  信息网络及软件购置更新</t>
  </si>
  <si>
    <t xml:space="preserve">  其他资本性支出</t>
  </si>
  <si>
    <t xml:space="preserve">2018年滨江区一般公共预算支出明细表 </t>
  </si>
  <si>
    <t xml:space="preserve">  一般公共服务支出</t>
  </si>
  <si>
    <t xml:space="preserve">    人大事务</t>
  </si>
  <si>
    <t xml:space="preserve">      行政运行</t>
  </si>
  <si>
    <t xml:space="preserve">      人大会议</t>
  </si>
  <si>
    <t xml:space="preserve">      代表工作</t>
  </si>
  <si>
    <t xml:space="preserve">      其他人大事务支出</t>
  </si>
  <si>
    <t xml:space="preserve">    政协事务</t>
  </si>
  <si>
    <t xml:space="preserve">      一般行政管理事务</t>
  </si>
  <si>
    <t xml:space="preserve">      政协会议</t>
  </si>
  <si>
    <t xml:space="preserve">      委员视察</t>
  </si>
  <si>
    <t xml:space="preserve">    政府办公厅(室)及相关机构事务</t>
  </si>
  <si>
    <t xml:space="preserve">      机关服务</t>
  </si>
  <si>
    <t xml:space="preserve">      专项业务活动</t>
  </si>
  <si>
    <t xml:space="preserve">      信访事务</t>
  </si>
  <si>
    <t xml:space="preserve">      事业运行</t>
  </si>
  <si>
    <t xml:space="preserve">      其他政府办公厅(室)及相关机构事务支出</t>
  </si>
  <si>
    <t xml:space="preserve">    发展与改革事务</t>
  </si>
  <si>
    <t xml:space="preserve">    统计信息事务</t>
  </si>
  <si>
    <t xml:space="preserve">      专项统计业务</t>
  </si>
  <si>
    <t xml:space="preserve">      专项普查活动</t>
  </si>
  <si>
    <t xml:space="preserve">    财政事务</t>
  </si>
  <si>
    <t xml:space="preserve">      其他财政事务支出</t>
  </si>
  <si>
    <t xml:space="preserve">    审计事务</t>
  </si>
  <si>
    <t xml:space="preserve">      审计业务</t>
  </si>
  <si>
    <t xml:space="preserve">      审计管理</t>
  </si>
  <si>
    <t xml:space="preserve">    纪检监察事务</t>
  </si>
  <si>
    <t xml:space="preserve">    商贸事务</t>
  </si>
  <si>
    <t xml:space="preserve">      外资管理</t>
  </si>
  <si>
    <t xml:space="preserve">      招商引资</t>
  </si>
  <si>
    <t xml:space="preserve">    工商行政管理事务</t>
  </si>
  <si>
    <t xml:space="preserve">      工商行政管理专项</t>
  </si>
  <si>
    <t xml:space="preserve">      执法办案专项</t>
  </si>
  <si>
    <t xml:space="preserve">      信息化建设</t>
  </si>
  <si>
    <t xml:space="preserve">      其他工商行政管理事务支出</t>
  </si>
  <si>
    <t xml:space="preserve">    港澳台侨事务</t>
  </si>
  <si>
    <t xml:space="preserve">      其他港澳台侨事务支出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</si>
  <si>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</si>
  <si>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</si>
  <si>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</si>
  <si>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组织事务</t>
  </si>
  <si>
    <t xml:space="preserve">    宣传事务</t>
  </si>
  <si>
    <t xml:space="preserve">    统战事务</t>
  </si>
  <si>
    <t xml:space="preserve">    其他共产党事务支出</t>
  </si>
  <si>
    <t xml:space="preserve">      其他共产党事务支出</t>
  </si>
  <si>
    <t xml:space="preserve">  公共安全支出</t>
  </si>
  <si>
    <t xml:space="preserve">    武装警察</t>
  </si>
  <si>
    <t xml:space="preserve">      消防</t>
  </si>
  <si>
    <t xml:space="preserve">    公安</t>
  </si>
  <si>
    <t xml:space="preserve">      治安管理</t>
  </si>
  <si>
    <t xml:space="preserve">      刑事侦查</t>
  </si>
  <si>
    <t xml:space="preserve">      禁毒管理</t>
  </si>
  <si>
    <t xml:space="preserve">      反恐怖</t>
  </si>
  <si>
    <t xml:space="preserve">      网络运行及维护</t>
  </si>
  <si>
    <t xml:space="preserve">      拘押收教场所管理</t>
  </si>
  <si>
    <t xml:space="preserve">      其他公安支出</t>
  </si>
  <si>
    <t xml:space="preserve">    检察</t>
  </si>
  <si>
    <t xml:space="preserve">      查办和预防职务犯罪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</si>
  <si>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</si>
  <si>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</si>
  <si>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</si>
  <si>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</si>
  <si>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司法</t>
  </si>
  <si>
    <t xml:space="preserve">      基层司法业务</t>
  </si>
  <si>
    <t xml:space="preserve">      法律援助</t>
  </si>
  <si>
    <t xml:space="preserve">    其他公共安全支出(款)</t>
  </si>
  <si>
    <t xml:space="preserve">      其他公共安全支出(项)</t>
  </si>
  <si>
    <t xml:space="preserve">      其他消防</t>
  </si>
  <si>
    <t xml:space="preserve">  教育支出</t>
  </si>
  <si>
    <t xml:space="preserve">    教育管理事务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</si>
  <si>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</si>
  <si>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</si>
  <si>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</si>
  <si>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</si>
  <si>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其他普通教育支出</t>
  </si>
  <si>
    <t xml:space="preserve">    成人教育</t>
  </si>
  <si>
    <t xml:space="preserve">      成人中等教育</t>
  </si>
  <si>
    <t xml:space="preserve">      其他成人教育支出</t>
  </si>
  <si>
    <t xml:space="preserve">    进修及培训</t>
  </si>
  <si>
    <t xml:space="preserve">      教师进修</t>
  </si>
  <si>
    <t xml:space="preserve">    教育费附加安排的支出</t>
  </si>
  <si>
    <t xml:space="preserve">      城市中小学校舍建设</t>
  </si>
  <si>
    <t xml:space="preserve">    其他教育支出(款)</t>
  </si>
  <si>
    <t xml:space="preserve">      其他教育支出(项)</t>
  </si>
  <si>
    <t xml:space="preserve">  科学技术支出</t>
  </si>
  <si>
    <t xml:space="preserve">    科学技术管理事务</t>
  </si>
  <si>
    <t xml:space="preserve">      其他科学技术管理事务支出</t>
  </si>
  <si>
    <t xml:space="preserve">    技术研究与开发</t>
  </si>
  <si>
    <t xml:space="preserve">      应用技术研究与开发</t>
  </si>
  <si>
    <t xml:space="preserve">      产业技术研究与开发</t>
  </si>
  <si>
    <t xml:space="preserve">    科学技术普及</t>
  </si>
  <si>
    <t xml:space="preserve">      科普活动</t>
  </si>
  <si>
    <t xml:space="preserve">      其他科学技术普及支出</t>
  </si>
  <si>
    <t xml:space="preserve">    其他科学技术支出</t>
  </si>
  <si>
    <t xml:space="preserve">      其他科学技术支出</t>
  </si>
  <si>
    <t xml:space="preserve">  文化体育与传媒支出</t>
  </si>
  <si>
    <t xml:space="preserve">    文化</t>
  </si>
  <si>
    <t xml:space="preserve">      图书馆</t>
  </si>
  <si>
    <t xml:space="preserve">      文化活动</t>
  </si>
  <si>
    <t xml:space="preserve">      群众文化</t>
  </si>
  <si>
    <t xml:space="preserve">      文化创作与保护</t>
  </si>
  <si>
    <t xml:space="preserve">      文化市场管理</t>
  </si>
  <si>
    <t xml:space="preserve">      其他文化支出</t>
  </si>
  <si>
    <t xml:space="preserve">    体育</t>
  </si>
  <si>
    <t xml:space="preserve">      体育竞赛</t>
  </si>
  <si>
    <t xml:space="preserve">      群众体育</t>
  </si>
  <si>
    <t xml:space="preserve">      其他体育支出</t>
  </si>
  <si>
    <t xml:space="preserve">    新闻出版广播影视</t>
  </si>
  <si>
    <t xml:space="preserve">      新闻通讯</t>
  </si>
  <si>
    <t xml:space="preserve">      其他新闻出版广播影视支出</t>
  </si>
  <si>
    <t xml:space="preserve">    其他文化体育与传媒支出(款)</t>
  </si>
  <si>
    <t xml:space="preserve">      文化产业发展专项支出</t>
  </si>
  <si>
    <t xml:space="preserve">      其他文化体育与传媒支出(项)</t>
  </si>
  <si>
    <t xml:space="preserve">  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</si>
  <si>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</si>
  <si>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</si>
  <si>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</si>
  <si>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</si>
  <si>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</si>
  <si>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</si>
  <si>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</si>
  <si>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</si>
  <si>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</si>
  <si>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拥军优属</t>
  </si>
  <si>
    <t xml:space="preserve">      老龄事务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</si>
  <si>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</si>
  <si>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</si>
  <si>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</si>
  <si>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其他民政管理事务支出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</si>
  <si>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</si>
  <si>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</si>
  <si>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</si>
  <si>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机关事业单位基本养老保险缴费支出</t>
  </si>
  <si>
    <t xml:space="preserve">      机关事业单位职业年金缴费支出</t>
  </si>
  <si>
    <t xml:space="preserve">    就业补助</t>
  </si>
  <si>
    <t xml:space="preserve">      就业创业服务补贴</t>
  </si>
  <si>
    <t xml:space="preserve">      职业培训补贴</t>
  </si>
  <si>
    <t xml:space="preserve">      就业见习补贴</t>
  </si>
  <si>
    <t xml:space="preserve">      高技能人才培养补助</t>
  </si>
  <si>
    <t xml:space="preserve">      求职创业补贴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</si>
  <si>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</si>
  <si>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</si>
  <si>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</si>
  <si>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</si>
  <si>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义务兵优待</t>
  </si>
  <si>
    <t xml:space="preserve">      其他优抚支出</t>
  </si>
  <si>
    <t xml:space="preserve">    退役安置</t>
  </si>
  <si>
    <t xml:space="preserve">      退役士兵安置</t>
  </si>
  <si>
    <t xml:space="preserve">      退役士兵管理教育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</si>
  <si>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</si>
  <si>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</si>
  <si>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</si>
  <si>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</si>
  <si>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殡葬</t>
  </si>
  <si>
    <t xml:space="preserve">      社会福利事业单位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</si>
  <si>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</si>
  <si>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</si>
  <si>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</si>
  <si>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</si>
  <si>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残疾人生活和护理补贴</t>
  </si>
  <si>
    <t xml:space="preserve">      其他残疾人事业支出</t>
  </si>
  <si>
    <t xml:space="preserve">    自然灾害生活救助</t>
  </si>
  <si>
    <t xml:space="preserve">      地方自然灾害生活补助</t>
  </si>
  <si>
    <t xml:space="preserve">    最低生活保障</t>
  </si>
  <si>
    <t xml:space="preserve">      城市最低生活保障金支出</t>
  </si>
  <si>
    <t xml:space="preserve">    其他生活救助</t>
  </si>
  <si>
    <t xml:space="preserve">      其他城市生活救助</t>
  </si>
  <si>
    <t xml:space="preserve">    其他社会保障和就业支出(款)</t>
  </si>
  <si>
    <t xml:space="preserve">      其他社会保障和就业支出(项)</t>
  </si>
  <si>
    <t xml:space="preserve">  医疗卫生与计划生育支出</t>
  </si>
  <si>
    <t xml:space="preserve">    医疗卫生与计划生育管理事务</t>
  </si>
  <si>
    <t xml:space="preserve">      其他医疗卫生与计划生育管理事务支出</t>
  </si>
  <si>
    <t xml:space="preserve">    基层医疗卫生机构</t>
  </si>
  <si>
    <t xml:space="preserve">      城市社区卫生机构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</si>
  <si>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</si>
  <si>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</si>
  <si>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</si>
  <si>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</si>
  <si>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采供血机构</t>
  </si>
  <si>
    <t xml:space="preserve">      基本公共卫生服务</t>
  </si>
  <si>
    <t xml:space="preserve">      其他公共卫生支出</t>
  </si>
  <si>
    <t xml:space="preserve">    中医药</t>
  </si>
  <si>
    <t xml:space="preserve">      中医(民族医)药专项</t>
  </si>
  <si>
    <t xml:space="preserve">    计划生育事务</t>
  </si>
  <si>
    <t xml:space="preserve">      其他计划生育事务支出</t>
  </si>
  <si>
    <t xml:space="preserve">    食品和药品监督管理事务</t>
  </si>
  <si>
    <t xml:space="preserve">      食品安全事务</t>
  </si>
  <si>
    <t xml:space="preserve">      其他食品和药品监督管理事务支出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</si>
  <si>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</si>
  <si>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</si>
  <si>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</si>
  <si>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其他医疗卫生与计划生育支出</t>
  </si>
  <si>
    <t xml:space="preserve">      其他医疗卫生与计划生育支出</t>
  </si>
  <si>
    <t xml:space="preserve">  节能环保支出</t>
  </si>
  <si>
    <t xml:space="preserve">    环境监测与监察</t>
  </si>
  <si>
    <t xml:space="preserve">      其他环境监测与监察支出</t>
  </si>
  <si>
    <t xml:space="preserve">    污染防治</t>
  </si>
  <si>
    <t xml:space="preserve">      其他污染防治支出</t>
  </si>
  <si>
    <t xml:space="preserve">    能源节约利用(款)</t>
  </si>
  <si>
    <t xml:space="preserve">      能源节能利用(项)</t>
  </si>
  <si>
    <t xml:space="preserve">    其他节能环保支出(款)</t>
  </si>
  <si>
    <t xml:space="preserve">      其他节能环保支出(项)</t>
  </si>
  <si>
    <t xml:space="preserve">  城乡社区支出</t>
  </si>
  <si>
    <t xml:space="preserve">    城乡社区管理事务</t>
  </si>
  <si>
    <t xml:space="preserve">      城管执法</t>
  </si>
  <si>
    <t xml:space="preserve">      工程建设管理</t>
  </si>
  <si>
    <t xml:space="preserve">      住宅建设与房地产市场监管</t>
  </si>
  <si>
    <t xml:space="preserve">      其他城乡社区管理事务支出</t>
  </si>
  <si>
    <t xml:space="preserve">    城乡社区规划与管理(款)</t>
  </si>
  <si>
    <t xml:space="preserve">      城乡社区规划与管理(项)</t>
  </si>
  <si>
    <t xml:space="preserve">    城乡社区公共设施</t>
  </si>
  <si>
    <t xml:space="preserve">      其他城乡社区公共设施支出</t>
  </si>
  <si>
    <t xml:space="preserve">    城乡社区环境卫生(款)</t>
  </si>
  <si>
    <t xml:space="preserve">      城乡社区环境卫生(项)</t>
  </si>
  <si>
    <t xml:space="preserve">    其他城乡社区支出(款)</t>
  </si>
  <si>
    <t xml:space="preserve">      其他城乡社区支出(项)</t>
  </si>
  <si>
    <t xml:space="preserve">  农林水支出</t>
  </si>
  <si>
    <t xml:space="preserve">    农业</t>
  </si>
  <si>
    <t xml:space="preserve">      科技转化与推广服务</t>
  </si>
  <si>
    <t xml:space="preserve">      农产品质量安全</t>
  </si>
  <si>
    <t xml:space="preserve">      防灾救灾</t>
  </si>
  <si>
    <t xml:space="preserve">      农业生产支持补贴</t>
  </si>
  <si>
    <t xml:space="preserve">      农产品加工与促销</t>
  </si>
  <si>
    <t xml:space="preserve">      农村公益事业</t>
  </si>
  <si>
    <t xml:space="preserve">      成品油价格改革对渔业的补贴</t>
  </si>
  <si>
    <t xml:space="preserve">      其他农业支出</t>
  </si>
  <si>
    <t xml:space="preserve">    林业</t>
  </si>
  <si>
    <t xml:space="preserve">      森林生态效益补偿</t>
  </si>
  <si>
    <t xml:space="preserve">      其他林业支出</t>
  </si>
  <si>
    <t xml:space="preserve">    水利</t>
  </si>
  <si>
    <t xml:space="preserve">      水利工程运行与维护</t>
  </si>
  <si>
    <t xml:space="preserve">      水土保持</t>
  </si>
  <si>
    <t xml:space="preserve">      其他水利支出</t>
  </si>
  <si>
    <t xml:space="preserve">    扶贫</t>
  </si>
  <si>
    <t xml:space="preserve">      其他扶贫支出</t>
  </si>
  <si>
    <t xml:space="preserve">    农业综合开发</t>
  </si>
  <si>
    <t xml:space="preserve">      产业化发展</t>
  </si>
  <si>
    <t xml:space="preserve">      其他农业综合开发支出</t>
  </si>
  <si>
    <t xml:space="preserve">    其他农林水事务支出(款)</t>
  </si>
  <si>
    <t xml:space="preserve">      其他农林水事务支出(项)</t>
  </si>
  <si>
    <t xml:space="preserve">  资源勘探信息等支出</t>
  </si>
  <si>
    <t xml:space="preserve">    制造业</t>
  </si>
  <si>
    <t xml:space="preserve">      其他制造业支出</t>
  </si>
  <si>
    <t xml:space="preserve">    工业和信息产业监管</t>
  </si>
  <si>
    <t xml:space="preserve">      工业和信息产业支持</t>
  </si>
  <si>
    <t xml:space="preserve">    安全生产监管</t>
  </si>
  <si>
    <t xml:space="preserve">      安全监管监察专项</t>
  </si>
  <si>
    <t xml:space="preserve">    支持中小企业发展和管理支出</t>
  </si>
  <si>
    <t xml:space="preserve">      科技型中小企业技术创新基金</t>
  </si>
  <si>
    <t xml:space="preserve">      中小企业发展专项</t>
  </si>
  <si>
    <t xml:space="preserve">      其他支持中小企业发展和管理支出</t>
  </si>
  <si>
    <t xml:space="preserve">    其他资源勘探信息等支出(款)</t>
  </si>
  <si>
    <t xml:space="preserve">      其他资源勘探信息等支出(项)</t>
  </si>
  <si>
    <t xml:space="preserve">  商业服务业等支出</t>
  </si>
  <si>
    <t xml:space="preserve">    商业流通事务</t>
  </si>
  <si>
    <t xml:space="preserve">      其他商业流通事务支出</t>
  </si>
  <si>
    <t xml:space="preserve">    涉外发展服务支出</t>
  </si>
  <si>
    <t xml:space="preserve">      其他涉外发展服务支出</t>
  </si>
  <si>
    <t xml:space="preserve">    其他商业服务业等支出(款)</t>
  </si>
  <si>
    <t xml:space="preserve">      其他商业服务业等支出(项)</t>
  </si>
  <si>
    <t xml:space="preserve">  援助其他地区支出</t>
  </si>
  <si>
    <t xml:space="preserve">    其他支出</t>
  </si>
  <si>
    <t xml:space="preserve">  国土海洋气象等支出</t>
  </si>
  <si>
    <t xml:space="preserve">    国土资源事务</t>
  </si>
  <si>
    <t xml:space="preserve">  住房保障支出</t>
  </si>
  <si>
    <t xml:space="preserve">    保障性安居工程支出</t>
  </si>
  <si>
    <t xml:space="preserve">      棚户区改造</t>
  </si>
  <si>
    <t xml:space="preserve">      其他保障性安居工程支出</t>
  </si>
  <si>
    <t xml:space="preserve">    住房改革支出</t>
  </si>
  <si>
    <t xml:space="preserve">      住房公积金</t>
  </si>
  <si>
    <t xml:space="preserve">      购房补贴</t>
  </si>
  <si>
    <t xml:space="preserve">  其他支出(类)</t>
  </si>
  <si>
    <t xml:space="preserve">    其他支出(款)</t>
  </si>
  <si>
    <t xml:space="preserve">      其他支出(项)</t>
  </si>
  <si>
    <t xml:space="preserve">  债务付息支出</t>
  </si>
  <si>
    <t xml:space="preserve">    地方政府一般债务付息支出</t>
  </si>
  <si>
    <t xml:space="preserve">      地方政府一般债券付息支出</t>
  </si>
  <si>
    <t xml:space="preserve">  债务发行费用支出</t>
  </si>
  <si>
    <t xml:space="preserve">    地方政府一般债务发行费用支出</t>
  </si>
  <si>
    <r>
      <t>201</t>
    </r>
    <r>
      <rPr>
        <sz val="18"/>
        <color indexed="8"/>
        <rFont val="宋体"/>
        <family val="0"/>
      </rPr>
      <t>9</t>
    </r>
    <r>
      <rPr>
        <sz val="18"/>
        <color indexed="8"/>
        <rFont val="宋体"/>
        <family val="0"/>
      </rPr>
      <t xml:space="preserve">年滨江区一般公共预算支出明细表 </t>
    </r>
  </si>
  <si>
    <t xml:space="preserve">    行政运行</t>
  </si>
  <si>
    <t xml:space="preserve">    一般行政管理事务</t>
  </si>
  <si>
    <t xml:space="preserve">    机关服务</t>
  </si>
  <si>
    <t xml:space="preserve">    信息化建设</t>
  </si>
  <si>
    <t xml:space="preserve">    其他财政事务支出</t>
  </si>
  <si>
    <t xml:space="preserve">    应用技术研究与开发</t>
  </si>
  <si>
    <t xml:space="preserve">  其他科学技术支出</t>
  </si>
  <si>
    <t xml:space="preserve">    其他科学技术支出</t>
  </si>
  <si>
    <t xml:space="preserve">    文化创作与保护</t>
  </si>
  <si>
    <t xml:space="preserve">  能源节约利用</t>
  </si>
  <si>
    <t xml:space="preserve">    能源节约利用</t>
  </si>
  <si>
    <t xml:space="preserve">  自然生态保护</t>
  </si>
  <si>
    <t xml:space="preserve">    生态保护</t>
  </si>
  <si>
    <t xml:space="preserve">    其他农业支出</t>
  </si>
  <si>
    <t xml:space="preserve">    其他水利支出</t>
  </si>
  <si>
    <t xml:space="preserve">  工业和信息产业监管支出</t>
  </si>
  <si>
    <t xml:space="preserve">    工业和信息产业支持</t>
  </si>
  <si>
    <t xml:space="preserve">    中小企业发展专项</t>
  </si>
  <si>
    <t xml:space="preserve">  涉外发展服务支出</t>
  </si>
  <si>
    <t xml:space="preserve">    其他涉外发展服务支出</t>
  </si>
  <si>
    <t xml:space="preserve">  保障性安居工程支出</t>
  </si>
  <si>
    <t xml:space="preserve">    棚户区改造</t>
  </si>
  <si>
    <t xml:space="preserve">2018年滨江区一般公共预算基本支出明细表 </t>
  </si>
  <si>
    <t>行政单位</t>
  </si>
  <si>
    <t>事业单位</t>
  </si>
  <si>
    <t>缺西兴街道</t>
  </si>
  <si>
    <t>汇总的养老金</t>
  </si>
  <si>
    <t>商务局有伙食补助2000</t>
  </si>
  <si>
    <t>月明幼儿园有伙食补助110</t>
  </si>
  <si>
    <t xml:space="preserve">  离休费</t>
  </si>
  <si>
    <t xml:space="preserve">  退休费</t>
  </si>
  <si>
    <t xml:space="preserve">  抚恤金</t>
  </si>
  <si>
    <t>附表三</t>
  </si>
  <si>
    <t>附表四</t>
  </si>
  <si>
    <r>
      <rPr>
        <sz val="10"/>
        <rFont val="宋体"/>
        <family val="0"/>
      </rPr>
      <t>备注：农林水事务支出</t>
    </r>
    <r>
      <rPr>
        <sz val="10"/>
        <rFont val="宋体"/>
        <family val="0"/>
      </rPr>
      <t>比上年减少</t>
    </r>
    <r>
      <rPr>
        <sz val="10"/>
        <rFont val="Arial"/>
        <family val="2"/>
      </rPr>
      <t>53.8%,</t>
    </r>
    <r>
      <rPr>
        <sz val="10"/>
        <rFont val="宋体"/>
        <family val="0"/>
      </rPr>
      <t>主要原因一是区县统筹资金科目调整到援助其他地区支出，二是政府投资项目缩减。</t>
    </r>
  </si>
  <si>
    <t>2019年预算数</t>
  </si>
  <si>
    <t>2018年实绩数</t>
  </si>
  <si>
    <t>3、教育支出</t>
  </si>
  <si>
    <t>15、灾害防治及应急管理支出</t>
  </si>
  <si>
    <t>16、预备费</t>
  </si>
  <si>
    <t>17、其他支出</t>
  </si>
  <si>
    <t>18、债务付息支出</t>
  </si>
  <si>
    <t>19、债务发行费用支出</t>
  </si>
  <si>
    <t>备注：因主功能科目变动调整，2018年安监局本级的“资源勘探信息等支出/安全生产监管”658.43万元，消防大队的“公共安全支出/武装警察/消防”1396.45万元调整至灾害防治及应急管理支出。</t>
  </si>
  <si>
    <t xml:space="preserve">      省市补助（转移支付）支出</t>
  </si>
  <si>
    <t xml:space="preserve">      上解省市</t>
  </si>
  <si>
    <t xml:space="preserve">      一般债券支出</t>
  </si>
  <si>
    <t xml:space="preserve">      一般债券收入</t>
  </si>
  <si>
    <t xml:space="preserve">      上解省市</t>
  </si>
  <si>
    <t>省市专项支出</t>
  </si>
  <si>
    <t xml:space="preserve">      预算稳定调节基金</t>
  </si>
  <si>
    <t xml:space="preserve">    其他政府办公厅（室）及相关机构事务支出</t>
  </si>
  <si>
    <t xml:space="preserve">  卫生健康管理事务</t>
  </si>
  <si>
    <t>项目</t>
  </si>
  <si>
    <t>2018年预算数</t>
  </si>
  <si>
    <t>2018年执行数</t>
  </si>
  <si>
    <t>一、税收返还支出</t>
  </si>
  <si>
    <t xml:space="preserve">所得税基数返还支出 </t>
  </si>
  <si>
    <t>成品油改革税收返还支出</t>
  </si>
  <si>
    <t>增值税税收返还支出</t>
  </si>
  <si>
    <t>消费税税收返还支出</t>
  </si>
  <si>
    <t>营改增基数返还支出</t>
  </si>
  <si>
    <t>二、一般性转移支付</t>
  </si>
  <si>
    <t>体制补助支出</t>
  </si>
  <si>
    <t>均衡性转移支付</t>
  </si>
  <si>
    <t>县级基本财力保障机制奖补资金支出</t>
  </si>
  <si>
    <t>结算补助支出</t>
  </si>
  <si>
    <t>成品油价格和税费改革转移支付补助支出</t>
  </si>
  <si>
    <t>产粮（油）大县奖励资金支出</t>
  </si>
  <si>
    <t>重点生态功能区转移支付支出</t>
  </si>
  <si>
    <t>基层公检法司转移支付支出</t>
  </si>
  <si>
    <t>城乡义务教育转移支付支出</t>
  </si>
  <si>
    <t>固定数额补助支出</t>
  </si>
  <si>
    <t>民族地区转移支付支出</t>
  </si>
  <si>
    <t>边境地区转移支付</t>
  </si>
  <si>
    <t>贫困地区转移支付支出</t>
  </si>
  <si>
    <t>公共安全共同财政事权转移支付支出</t>
  </si>
  <si>
    <t>教育共同财政事权转移支付支出</t>
  </si>
  <si>
    <t>科学技术共同财政事权转移支付支出</t>
  </si>
  <si>
    <t xml:space="preserve">文化旅游体育与传媒共同财政事权转移支付支出 </t>
  </si>
  <si>
    <t xml:space="preserve">社会保障和就业共同财政事权转移支付支出 </t>
  </si>
  <si>
    <t>卫生健康共同财政事权转移支付支出</t>
  </si>
  <si>
    <t>节能环保共同财政事权转移支付支出</t>
  </si>
  <si>
    <t>农林水共同财政事权转移支付支出</t>
  </si>
  <si>
    <t>交通运输共同财政事权转移支付支出</t>
  </si>
  <si>
    <t>自然资源海洋气象等共同财政事权转移支付支出</t>
  </si>
  <si>
    <t>住房保障共同财政事权转移支付支出</t>
  </si>
  <si>
    <t>灾害防治及应急管理共同财政事权转移支付支出</t>
  </si>
  <si>
    <t>其他共同财政事权转移支付支出</t>
  </si>
  <si>
    <t>其他一般性转移支付支出</t>
  </si>
  <si>
    <t>支 出 合 计</t>
  </si>
  <si>
    <t>专项转移支付</t>
  </si>
  <si>
    <t xml:space="preserve">    一般公共服务</t>
  </si>
  <si>
    <t xml:space="preserve">    外交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</si>
  <si>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</si>
  <si>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</si>
  <si>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</si>
  <si>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</si>
  <si>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文化体育与传媒</t>
  </si>
  <si>
    <t xml:space="preserve">    社会保障和就业</t>
  </si>
  <si>
    <t xml:space="preserve">    医疗卫生与计划生育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</si>
  <si>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</si>
  <si>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</si>
  <si>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</si>
  <si>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</si>
  <si>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</si>
  <si>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</si>
  <si>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</si>
  <si>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国土海洋气象等</t>
  </si>
  <si>
    <t xml:space="preserve">    住房保障</t>
  </si>
  <si>
    <t xml:space="preserve">    粮油物资储备</t>
  </si>
  <si>
    <t xml:space="preserve">    其他收入</t>
  </si>
  <si>
    <t>合 计</t>
  </si>
  <si>
    <t>2018年税收返还和一般性转移支付执行情况表</t>
  </si>
  <si>
    <t>2018年省市专项转移支付执行情况表</t>
  </si>
  <si>
    <t>2019年预算数</t>
  </si>
  <si>
    <t xml:space="preserve">    文化旅游体育与传媒</t>
  </si>
  <si>
    <t xml:space="preserve">    卫生健康</t>
  </si>
  <si>
    <t xml:space="preserve">    自然资源海洋气象等</t>
  </si>
  <si>
    <t>2019年税收返还和一般性转移支付预算情况表</t>
  </si>
  <si>
    <t>2019年省市专项转移支付预算情况表</t>
  </si>
  <si>
    <t>2018年地方政府一般债务限额和余额表</t>
  </si>
  <si>
    <t>地区</t>
  </si>
  <si>
    <t>限额</t>
  </si>
  <si>
    <t>余额</t>
  </si>
  <si>
    <t>滨江区</t>
  </si>
  <si>
    <t>2019年滨江区政府一般债务情况表</t>
  </si>
  <si>
    <t>单位：亿元</t>
  </si>
  <si>
    <t>预算数</t>
  </si>
  <si>
    <t>执行数</t>
  </si>
  <si>
    <t>一、2018年末地方政府一般债务余额实际数</t>
  </si>
  <si>
    <t>二、2019年末地方政府一般债务余额限额</t>
  </si>
  <si>
    <t>三、2019年地方政府一般债务发行额</t>
  </si>
  <si>
    <t xml:space="preserve">    2019年地方政府一般债券发行额</t>
  </si>
  <si>
    <t>四、2019年地方政府一般债务还本额</t>
  </si>
  <si>
    <t>五、2019年末地方政府一般债务余额执行数</t>
  </si>
  <si>
    <t xml:space="preserve">六、2020年末地方政府一般债务余额限额 </t>
  </si>
  <si>
    <t>尚未下达</t>
  </si>
  <si>
    <t>单位：亿元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</si>
</sst>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0.0_ "/>
    <numFmt numFmtId="186" formatCode="0.00_);[Red]\(0.00\)"/>
    <numFmt numFmtId="187" formatCode="0.00_ "/>
    <numFmt numFmtId="188" formatCode="0_ "/>
    <numFmt numFmtId="189" formatCode="#,##0.00_ "/>
    <numFmt numFmtId="190" formatCode="#,##0.000_ "/>
    <numFmt numFmtId="191" formatCode="#,##0.0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%"/>
    <numFmt numFmtId="197" formatCode="0_);[Red]\(0\)"/>
    <numFmt numFmtId="198" formatCode="0_ ;[Red]\-0\ "/>
    <numFmt numFmtId="199" formatCode="#,##0;\-#,##0;&quot;-&quot;"/>
    <numFmt numFmtId="200" formatCode="#,##0;\(#,##0\)"/>
    <numFmt numFmtId="201" formatCode="_-&quot;$&quot;* #,##0_-;\-&quot;$&quot;* #,##0_-;_-&quot;$&quot;* &quot;-&quot;_-;_-@_-"/>
    <numFmt numFmtId="202" formatCode="_(&quot;$&quot;* #,##0.00_);_(&quot;$&quot;* \(#,##0.00\);_(&quot;$&quot;* &quot;-&quot;??_);_(@_)"/>
    <numFmt numFmtId="203" formatCode="\$#,##0.00;\(\$#,##0.00\)"/>
    <numFmt numFmtId="204" formatCode="\$#,##0;\(\$#,##0\)"/>
    <numFmt numFmtId="205" formatCode="_-* #,##0_$_-;\-* #,##0_$_-;_-* &quot;-&quot;_$_-;_-@_-"/>
    <numFmt numFmtId="206" formatCode="_-* #,##0.00_$_-;\-* #,##0.00_$_-;_-* &quot;-&quot;??_$_-;_-@_-"/>
    <numFmt numFmtId="207" formatCode="_-* #,##0&quot;$&quot;_-;\-* #,##0&quot;$&quot;_-;_-* &quot;-&quot;&quot;$&quot;_-;_-@_-"/>
    <numFmt numFmtId="208" formatCode="_-* #,##0.00&quot;$&quot;_-;\-* #,##0.00&quot;$&quot;_-;_-* &quot;-&quot;??&quot;$&quot;_-;_-@_-"/>
    <numFmt numFmtId="209" formatCode="0.0"/>
    <numFmt numFmtId="210" formatCode="#,##0_);[Red]\(#,##0\)"/>
    <numFmt numFmtId="211" formatCode="0.00_ ;\-0.00"/>
    <numFmt numFmtId="212" formatCode="0.00_ ;\-0.0000;;"/>
    <numFmt numFmtId="213" formatCode="#,##0.##"/>
    <numFmt numFmtId="214" formatCode="0;_⃿"/>
    <numFmt numFmtId="215" formatCode="0.00000_ "/>
    <numFmt numFmtId="216" formatCode="0.0000_ "/>
    <numFmt numFmtId="217" formatCode="0.000_ "/>
    <numFmt numFmtId="218" formatCode="0.0_);[Red]\(0.0\)"/>
  </numFmts>
  <fonts count="57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8"/>
      <name val="宋体"/>
      <family val="0"/>
    </font>
    <font>
      <sz val="18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9"/>
      <name val="Tahoma"/>
      <family val="2"/>
    </font>
    <font>
      <b/>
      <sz val="9"/>
      <name val="Tahoma"/>
      <family val="2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4"/>
      <color theme="1"/>
      <name val="Calibri"/>
      <family val="0"/>
    </font>
    <font>
      <b/>
      <sz val="14"/>
      <color theme="1"/>
      <name val="Calibri"/>
      <family val="0"/>
    </font>
    <font>
      <sz val="18"/>
      <color theme="1"/>
      <name val="Calibri"/>
      <family val="0"/>
    </font>
    <font>
      <b/>
      <sz val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108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0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2">
    <xf numFmtId="0" fontId="0" fillId="0" borderId="0" xfId="0" applyAlignment="1">
      <alignment vertical="center"/>
    </xf>
    <xf numFmtId="0" fontId="9" fillId="0" borderId="0" xfId="0" applyFont="1" applyAlignment="1">
      <alignment/>
    </xf>
    <xf numFmtId="186" fontId="9" fillId="0" borderId="0" xfId="0" applyNumberFormat="1" applyFont="1" applyAlignment="1">
      <alignment horizontal="right" vertical="center"/>
    </xf>
    <xf numFmtId="0" fontId="0" fillId="0" borderId="0" xfId="0" applyFont="1" applyAlignment="1">
      <alignment/>
    </xf>
    <xf numFmtId="184" fontId="2" fillId="0" borderId="0" xfId="0" applyNumberFormat="1" applyFont="1" applyAlignment="1">
      <alignment/>
    </xf>
    <xf numFmtId="185" fontId="2" fillId="0" borderId="0" xfId="0" applyNumberFormat="1" applyFont="1" applyAlignment="1">
      <alignment/>
    </xf>
    <xf numFmtId="0" fontId="2" fillId="0" borderId="0" xfId="0" applyFont="1" applyAlignment="1">
      <alignment/>
    </xf>
    <xf numFmtId="184" fontId="9" fillId="0" borderId="0" xfId="0" applyNumberFormat="1" applyFont="1" applyAlignment="1">
      <alignment/>
    </xf>
    <xf numFmtId="186" fontId="0" fillId="0" borderId="10" xfId="83" applyNumberFormat="1" applyFont="1" applyBorder="1" applyAlignment="1" applyProtection="1">
      <alignment horizontal="center" vertical="center" wrapText="1"/>
      <protection locked="0"/>
    </xf>
    <xf numFmtId="186" fontId="0" fillId="0" borderId="10" xfId="0" applyNumberFormat="1" applyFont="1" applyBorder="1" applyAlignment="1" applyProtection="1">
      <alignment horizontal="center" vertical="center" wrapText="1"/>
      <protection locked="0"/>
    </xf>
    <xf numFmtId="186" fontId="2" fillId="0" borderId="0" xfId="0" applyNumberFormat="1" applyFont="1" applyAlignment="1">
      <alignment vertical="center" wrapText="1"/>
    </xf>
    <xf numFmtId="0" fontId="0" fillId="0" borderId="10" xfId="0" applyFont="1" applyBorder="1" applyAlignment="1" applyProtection="1">
      <alignment vertical="center"/>
      <protection locked="0"/>
    </xf>
    <xf numFmtId="197" fontId="0" fillId="0" borderId="10" xfId="0" applyNumberFormat="1" applyFont="1" applyBorder="1" applyAlignment="1">
      <alignment vertical="center"/>
    </xf>
    <xf numFmtId="188" fontId="0" fillId="0" borderId="10" xfId="0" applyNumberFormat="1" applyFont="1" applyBorder="1" applyAlignment="1" applyProtection="1">
      <alignment horizontal="right" vertical="center"/>
      <protection locked="0"/>
    </xf>
    <xf numFmtId="185" fontId="0" fillId="0" borderId="10" xfId="0" applyNumberFormat="1" applyFont="1" applyBorder="1" applyAlignment="1">
      <alignment vertical="center"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vertical="center"/>
      <protection locked="0"/>
    </xf>
    <xf numFmtId="197" fontId="0" fillId="0" borderId="10" xfId="0" applyNumberFormat="1" applyFont="1" applyBorder="1" applyAlignment="1">
      <alignment horizontal="right" vertical="center"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197" fontId="0" fillId="0" borderId="10" xfId="0" applyNumberFormat="1" applyFont="1" applyBorder="1" applyAlignment="1" applyProtection="1">
      <alignment horizontal="right" vertical="center"/>
      <protection locked="0"/>
    </xf>
    <xf numFmtId="189" fontId="2" fillId="0" borderId="0" xfId="0" applyNumberFormat="1" applyFont="1" applyAlignment="1">
      <alignment/>
    </xf>
    <xf numFmtId="0" fontId="0" fillId="0" borderId="0" xfId="0" applyFont="1" applyAlignment="1" applyProtection="1">
      <alignment vertical="center"/>
      <protection locked="0"/>
    </xf>
    <xf numFmtId="184" fontId="10" fillId="0" borderId="0" xfId="0" applyNumberFormat="1" applyFont="1" applyAlignment="1" applyProtection="1">
      <alignment vertical="center"/>
      <protection locked="0"/>
    </xf>
    <xf numFmtId="185" fontId="10" fillId="0" borderId="0" xfId="0" applyNumberFormat="1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84" fontId="7" fillId="0" borderId="0" xfId="0" applyNumberFormat="1" applyFont="1" applyAlignment="1" applyProtection="1">
      <alignment horizontal="center" vertical="center"/>
      <protection locked="0"/>
    </xf>
    <xf numFmtId="184" fontId="0" fillId="0" borderId="0" xfId="0" applyNumberFormat="1" applyFont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185" fontId="0" fillId="0" borderId="10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185" fontId="0" fillId="0" borderId="10" xfId="0" applyNumberFormat="1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186" fontId="0" fillId="0" borderId="11" xfId="0" applyNumberFormat="1" applyFill="1" applyBorder="1" applyAlignment="1">
      <alignment horizontal="center" vertical="center" wrapText="1"/>
    </xf>
    <xf numFmtId="186" fontId="0" fillId="0" borderId="10" xfId="83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188" fontId="0" fillId="0" borderId="10" xfId="0" applyNumberFormat="1" applyFont="1" applyBorder="1" applyAlignment="1" applyProtection="1">
      <alignment horizontal="center" vertical="center"/>
      <protection locked="0"/>
    </xf>
    <xf numFmtId="188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/>
    </xf>
    <xf numFmtId="0" fontId="0" fillId="0" borderId="10" xfId="0" applyFont="1" applyBorder="1" applyAlignment="1" applyProtection="1">
      <alignment vertical="center"/>
      <protection locked="0"/>
    </xf>
    <xf numFmtId="0" fontId="9" fillId="0" borderId="10" xfId="0" applyFont="1" applyBorder="1" applyAlignment="1" applyProtection="1">
      <alignment vertical="center"/>
      <protection locked="0"/>
    </xf>
    <xf numFmtId="186" fontId="0" fillId="0" borderId="10" xfId="8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10" xfId="83" applyFont="1" applyBorder="1" applyAlignment="1" applyProtection="1">
      <alignment horizontal="left" vertical="center" wrapText="1"/>
      <protection locked="0"/>
    </xf>
    <xf numFmtId="188" fontId="0" fillId="0" borderId="10" xfId="0" applyNumberFormat="1" applyBorder="1" applyAlignment="1">
      <alignment horizontal="center" vertical="center"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10" xfId="83" applyFont="1" applyBorder="1" applyAlignment="1" applyProtection="1">
      <alignment horizontal="left" vertical="center" wrapText="1"/>
      <protection locked="0"/>
    </xf>
    <xf numFmtId="214" fontId="0" fillId="0" borderId="10" xfId="0" applyNumberFormat="1" applyBorder="1" applyAlignment="1">
      <alignment horizontal="center" vertical="center"/>
    </xf>
    <xf numFmtId="214" fontId="0" fillId="0" borderId="10" xfId="0" applyNumberFormat="1" applyFont="1" applyBorder="1" applyAlignment="1" applyProtection="1">
      <alignment horizontal="center" vertical="center"/>
      <protection/>
    </xf>
    <xf numFmtId="0" fontId="0" fillId="0" borderId="0" xfId="40" applyNumberFormat="1" applyFont="1" applyFill="1" applyBorder="1" applyAlignment="1" applyProtection="1">
      <alignment/>
      <protection/>
    </xf>
    <xf numFmtId="0" fontId="0" fillId="0" borderId="0" xfId="40" applyNumberFormat="1" applyFont="1" applyFill="1" applyBorder="1" applyAlignment="1" applyProtection="1">
      <alignment vertical="center"/>
      <protection/>
    </xf>
    <xf numFmtId="0" fontId="9" fillId="0" borderId="0" xfId="40" applyFont="1">
      <alignment/>
      <protection/>
    </xf>
    <xf numFmtId="0" fontId="0" fillId="0" borderId="0" xfId="40" applyAlignment="1">
      <alignment vertical="center"/>
      <protection/>
    </xf>
    <xf numFmtId="0" fontId="0" fillId="0" borderId="0" xfId="40" applyAlignment="1">
      <alignment horizontal="right" vertical="center"/>
      <protection/>
    </xf>
    <xf numFmtId="0" fontId="0" fillId="0" borderId="0" xfId="40" applyNumberFormat="1" applyFont="1" applyFill="1" applyBorder="1" applyAlignment="1">
      <alignment/>
      <protection/>
    </xf>
    <xf numFmtId="0" fontId="9" fillId="33" borderId="12" xfId="40" applyNumberFormat="1" applyFont="1" applyFill="1" applyBorder="1" applyAlignment="1">
      <alignment horizontal="center" vertical="center" wrapText="1" shrinkToFit="1"/>
      <protection/>
    </xf>
    <xf numFmtId="188" fontId="9" fillId="0" borderId="13" xfId="40" applyNumberFormat="1" applyFont="1" applyBorder="1" applyAlignment="1">
      <alignment horizontal="center" vertical="center"/>
      <protection/>
    </xf>
    <xf numFmtId="0" fontId="9" fillId="0" borderId="13" xfId="40" applyFont="1" applyBorder="1" applyAlignment="1">
      <alignment horizontal="left" vertical="center" shrinkToFit="1"/>
      <protection/>
    </xf>
    <xf numFmtId="0" fontId="0" fillId="0" borderId="0" xfId="40" applyNumberFormat="1" applyFill="1" applyBorder="1" applyAlignment="1">
      <alignment/>
      <protection/>
    </xf>
    <xf numFmtId="0" fontId="0" fillId="34" borderId="0" xfId="40" applyNumberFormat="1" applyFont="1" applyFill="1" applyBorder="1" applyAlignment="1">
      <alignment/>
      <protection/>
    </xf>
    <xf numFmtId="0" fontId="0" fillId="16" borderId="0" xfId="40" applyNumberFormat="1" applyFont="1" applyFill="1" applyBorder="1" applyAlignment="1">
      <alignment/>
      <protection/>
    </xf>
    <xf numFmtId="0" fontId="0" fillId="0" borderId="0" xfId="0" applyFont="1" applyAlignment="1">
      <alignment horizontal="right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33" borderId="14" xfId="40" applyFont="1" applyFill="1" applyBorder="1" applyAlignment="1">
      <alignment horizontal="center" vertical="center" wrapText="1" shrinkToFit="1"/>
      <protection/>
    </xf>
    <xf numFmtId="0" fontId="0" fillId="0" borderId="13" xfId="40" applyFont="1" applyBorder="1" applyAlignment="1">
      <alignment horizontal="left" vertical="center" shrinkToFit="1"/>
      <protection/>
    </xf>
    <xf numFmtId="0" fontId="0" fillId="0" borderId="13" xfId="40" applyFont="1" applyBorder="1" applyAlignment="1">
      <alignment horizontal="center" vertical="center" shrinkToFit="1"/>
      <protection/>
    </xf>
    <xf numFmtId="0" fontId="0" fillId="0" borderId="15" xfId="0" applyNumberFormat="1" applyFont="1" applyFill="1" applyBorder="1" applyAlignment="1" applyProtection="1">
      <alignment horizontal="left" vertical="center"/>
      <protection/>
    </xf>
    <xf numFmtId="197" fontId="0" fillId="0" borderId="10" xfId="0" applyNumberFormat="1" applyFont="1" applyFill="1" applyBorder="1" applyAlignment="1" applyProtection="1">
      <alignment horizontal="right" vertical="center"/>
      <protection/>
    </xf>
    <xf numFmtId="197" fontId="0" fillId="0" borderId="10" xfId="0" applyNumberFormat="1" applyFont="1" applyBorder="1" applyAlignment="1">
      <alignment horizontal="right" vertical="center"/>
    </xf>
    <xf numFmtId="197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188" fontId="0" fillId="0" borderId="13" xfId="40" applyNumberFormat="1" applyFont="1" applyBorder="1" applyAlignment="1">
      <alignment horizontal="right" vertical="center"/>
      <protection/>
    </xf>
    <xf numFmtId="188" fontId="0" fillId="0" borderId="13" xfId="40" applyNumberFormat="1" applyFont="1" applyFill="1" applyBorder="1" applyAlignment="1">
      <alignment horizontal="right" vertical="center"/>
      <protection/>
    </xf>
    <xf numFmtId="0" fontId="0" fillId="0" borderId="10" xfId="0" applyNumberFormat="1" applyFont="1" applyBorder="1" applyAlignment="1" applyProtection="1">
      <alignment horizontal="right" vertical="center"/>
      <protection/>
    </xf>
    <xf numFmtId="185" fontId="0" fillId="0" borderId="10" xfId="0" applyNumberFormat="1" applyFont="1" applyBorder="1" applyAlignment="1" applyProtection="1">
      <alignment horizontal="right" vertical="center"/>
      <protection locked="0"/>
    </xf>
    <xf numFmtId="197" fontId="0" fillId="0" borderId="10" xfId="0" applyNumberFormat="1" applyFont="1" applyBorder="1" applyAlignment="1" applyProtection="1">
      <alignment horizontal="right" vertical="center"/>
      <protection/>
    </xf>
    <xf numFmtId="197" fontId="0" fillId="0" borderId="10" xfId="0" applyNumberFormat="1" applyFont="1" applyFill="1" applyBorder="1" applyAlignment="1" applyProtection="1">
      <alignment horizontal="right" vertical="center"/>
      <protection locked="0"/>
    </xf>
    <xf numFmtId="197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NumberFormat="1" applyFont="1" applyBorder="1" applyAlignment="1" applyProtection="1">
      <alignment horizontal="right" vertical="center"/>
      <protection locked="0"/>
    </xf>
    <xf numFmtId="0" fontId="0" fillId="0" borderId="10" xfId="0" applyNumberFormat="1" applyFont="1" applyFill="1" applyBorder="1" applyAlignment="1" applyProtection="1">
      <alignment horizontal="right" vertical="center"/>
      <protection locked="0"/>
    </xf>
    <xf numFmtId="0" fontId="52" fillId="0" borderId="10" xfId="82" applyNumberFormat="1" applyFont="1" applyFill="1" applyBorder="1" applyAlignment="1">
      <alignment horizontal="right" vertical="center"/>
      <protection/>
    </xf>
    <xf numFmtId="0" fontId="52" fillId="0" borderId="16" xfId="82" applyNumberFormat="1" applyFont="1" applyFill="1" applyBorder="1" applyAlignment="1">
      <alignment horizontal="right" vertical="center"/>
      <protection/>
    </xf>
    <xf numFmtId="0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83" applyNumberFormat="1" applyFont="1" applyBorder="1" applyAlignment="1" applyProtection="1">
      <alignment horizontal="center" vertical="center" wrapText="1"/>
      <protection locked="0"/>
    </xf>
    <xf numFmtId="186" fontId="0" fillId="0" borderId="11" xfId="0" applyNumberFormat="1" applyFont="1" applyFill="1" applyBorder="1" applyAlignment="1">
      <alignment horizontal="center" vertical="center" wrapText="1"/>
    </xf>
    <xf numFmtId="186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197" fontId="0" fillId="0" borderId="10" xfId="0" applyNumberFormat="1" applyFont="1" applyBorder="1" applyAlignment="1">
      <alignment vertical="center"/>
    </xf>
    <xf numFmtId="188" fontId="0" fillId="0" borderId="10" xfId="0" applyNumberFormat="1" applyFont="1" applyBorder="1" applyAlignment="1" applyProtection="1">
      <alignment horizontal="right" vertical="center"/>
      <protection locked="0"/>
    </xf>
    <xf numFmtId="185" fontId="0" fillId="0" borderId="10" xfId="0" applyNumberFormat="1" applyFont="1" applyBorder="1" applyAlignment="1">
      <alignment vertical="center"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10" xfId="83" applyFont="1" applyBorder="1" applyAlignment="1" applyProtection="1">
      <alignment horizontal="left" vertical="center" wrapText="1"/>
      <protection locked="0"/>
    </xf>
    <xf numFmtId="0" fontId="0" fillId="0" borderId="10" xfId="83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197" fontId="0" fillId="0" borderId="10" xfId="0" applyNumberFormat="1" applyFont="1" applyBorder="1" applyAlignment="1" applyProtection="1">
      <alignment horizontal="right" vertical="center"/>
      <protection locked="0"/>
    </xf>
    <xf numFmtId="188" fontId="0" fillId="0" borderId="10" xfId="0" applyNumberFormat="1" applyFont="1" applyFill="1" applyBorder="1" applyAlignment="1" applyProtection="1">
      <alignment horizontal="right" vertical="center"/>
      <protection locked="0"/>
    </xf>
    <xf numFmtId="0" fontId="0" fillId="33" borderId="13" xfId="0" applyFont="1" applyFill="1" applyBorder="1" applyAlignment="1">
      <alignment horizontal="left" vertical="center" wrapText="1" shrinkToFit="1"/>
    </xf>
    <xf numFmtId="197" fontId="0" fillId="0" borderId="13" xfId="0" applyNumberFormat="1" applyFont="1" applyBorder="1" applyAlignment="1">
      <alignment horizontal="right" vertical="center"/>
    </xf>
    <xf numFmtId="0" fontId="0" fillId="33" borderId="14" xfId="0" applyFont="1" applyFill="1" applyBorder="1" applyAlignment="1">
      <alignment horizontal="center" vertical="center" wrapText="1" shrinkToFit="1"/>
    </xf>
    <xf numFmtId="0" fontId="0" fillId="0" borderId="13" xfId="0" applyFont="1" applyBorder="1" applyAlignment="1">
      <alignment horizontal="left" vertical="center" shrinkToFit="1"/>
    </xf>
    <xf numFmtId="0" fontId="0" fillId="0" borderId="17" xfId="0" applyFont="1" applyBorder="1" applyAlignment="1">
      <alignment horizontal="left" vertical="center" shrinkToFit="1"/>
    </xf>
    <xf numFmtId="0" fontId="0" fillId="0" borderId="10" xfId="0" applyFont="1" applyBorder="1" applyAlignment="1">
      <alignment horizontal="left" vertical="center" shrinkToFit="1"/>
    </xf>
    <xf numFmtId="188" fontId="0" fillId="0" borderId="13" xfId="0" applyNumberFormat="1" applyFont="1" applyBorder="1" applyAlignment="1">
      <alignment horizontal="right" vertical="center"/>
    </xf>
    <xf numFmtId="188" fontId="0" fillId="0" borderId="17" xfId="0" applyNumberFormat="1" applyFont="1" applyBorder="1" applyAlignment="1">
      <alignment horizontal="right" vertical="center"/>
    </xf>
    <xf numFmtId="0" fontId="0" fillId="0" borderId="10" xfId="0" applyFill="1" applyBorder="1" applyAlignment="1" applyProtection="1">
      <alignment horizontal="center" vertical="center"/>
      <protection locked="0"/>
    </xf>
    <xf numFmtId="0" fontId="9" fillId="33" borderId="13" xfId="0" applyFont="1" applyFill="1" applyBorder="1" applyAlignment="1">
      <alignment horizontal="left" vertical="center" wrapText="1" shrinkToFit="1"/>
    </xf>
    <xf numFmtId="0" fontId="0" fillId="33" borderId="13" xfId="0" applyFont="1" applyFill="1" applyBorder="1" applyAlignment="1">
      <alignment horizontal="left" vertical="center" wrapText="1" shrinkToFit="1"/>
    </xf>
    <xf numFmtId="0" fontId="53" fillId="0" borderId="0" xfId="58" applyFont="1">
      <alignment vertical="center"/>
      <protection/>
    </xf>
    <xf numFmtId="0" fontId="53" fillId="0" borderId="0" xfId="58" applyFont="1" applyAlignment="1">
      <alignment horizontal="center" vertical="center"/>
      <protection/>
    </xf>
    <xf numFmtId="0" fontId="54" fillId="0" borderId="10" xfId="58" applyFont="1" applyBorder="1" applyAlignment="1">
      <alignment horizontal="center" vertical="center"/>
      <protection/>
    </xf>
    <xf numFmtId="0" fontId="53" fillId="0" borderId="10" xfId="58" applyFont="1" applyBorder="1" applyAlignment="1">
      <alignment horizontal="center" vertical="center"/>
      <protection/>
    </xf>
    <xf numFmtId="0" fontId="53" fillId="0" borderId="10" xfId="58" applyFont="1" applyBorder="1">
      <alignment vertical="center"/>
      <protection/>
    </xf>
    <xf numFmtId="0" fontId="53" fillId="0" borderId="10" xfId="58" applyFont="1" applyBorder="1" applyAlignment="1">
      <alignment horizontal="right" vertical="center"/>
      <protection/>
    </xf>
    <xf numFmtId="0" fontId="53" fillId="0" borderId="10" xfId="80" applyFont="1" applyBorder="1">
      <alignment vertical="center"/>
      <protection/>
    </xf>
    <xf numFmtId="0" fontId="53" fillId="0" borderId="0" xfId="80" applyFont="1" applyAlignment="1">
      <alignment horizontal="center" vertical="center"/>
      <protection/>
    </xf>
    <xf numFmtId="0" fontId="53" fillId="0" borderId="0" xfId="80" applyFont="1">
      <alignment vertical="center"/>
      <protection/>
    </xf>
    <xf numFmtId="0" fontId="54" fillId="0" borderId="10" xfId="80" applyFont="1" applyBorder="1" applyAlignment="1">
      <alignment horizontal="center" vertical="center"/>
      <protection/>
    </xf>
    <xf numFmtId="0" fontId="53" fillId="0" borderId="10" xfId="80" applyFont="1" applyBorder="1" applyAlignment="1">
      <alignment horizontal="center" vertical="center"/>
      <protection/>
    </xf>
    <xf numFmtId="0" fontId="35" fillId="0" borderId="0" xfId="50" applyBorder="1">
      <alignment vertical="center"/>
      <protection/>
    </xf>
    <xf numFmtId="0" fontId="53" fillId="0" borderId="0" xfId="50" applyFont="1" applyBorder="1">
      <alignment vertical="center"/>
      <protection/>
    </xf>
    <xf numFmtId="0" fontId="54" fillId="0" borderId="10" xfId="50" applyFont="1" applyBorder="1" applyAlignment="1">
      <alignment horizontal="center" vertical="center"/>
      <protection/>
    </xf>
    <xf numFmtId="0" fontId="53" fillId="0" borderId="10" xfId="50" applyFont="1" applyBorder="1">
      <alignment vertical="center"/>
      <protection/>
    </xf>
    <xf numFmtId="0" fontId="35" fillId="0" borderId="0" xfId="81" applyBorder="1">
      <alignment vertical="center"/>
      <protection/>
    </xf>
    <xf numFmtId="0" fontId="53" fillId="0" borderId="10" xfId="81" applyFont="1" applyBorder="1">
      <alignment vertical="center"/>
      <protection/>
    </xf>
    <xf numFmtId="0" fontId="54" fillId="0" borderId="10" xfId="81" applyFont="1" applyBorder="1" applyAlignment="1">
      <alignment horizontal="center" vertical="center"/>
      <protection/>
    </xf>
    <xf numFmtId="0" fontId="53" fillId="0" borderId="0" xfId="81" applyFont="1" applyBorder="1" applyAlignment="1">
      <alignment horizontal="center" vertical="center"/>
      <protection/>
    </xf>
    <xf numFmtId="0" fontId="7" fillId="0" borderId="0" xfId="0" applyFont="1" applyFill="1" applyAlignment="1" applyProtection="1">
      <alignment horizontal="center" vertical="center"/>
      <protection locked="0"/>
    </xf>
    <xf numFmtId="185" fontId="0" fillId="0" borderId="18" xfId="0" applyNumberFormat="1" applyFont="1" applyBorder="1" applyAlignment="1" applyProtection="1">
      <alignment horizontal="right" vertical="center"/>
      <protection locked="0"/>
    </xf>
    <xf numFmtId="0" fontId="9" fillId="0" borderId="19" xfId="0" applyFont="1" applyBorder="1" applyAlignment="1" applyProtection="1">
      <alignment horizontal="left" vertical="center"/>
      <protection locked="0"/>
    </xf>
    <xf numFmtId="185" fontId="0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40" applyNumberFormat="1" applyFont="1" applyFill="1" applyBorder="1" applyAlignment="1" applyProtection="1">
      <alignment horizontal="center" vertical="center"/>
      <protection/>
    </xf>
    <xf numFmtId="0" fontId="0" fillId="33" borderId="20" xfId="40" applyFont="1" applyFill="1" applyBorder="1" applyAlignment="1">
      <alignment horizontal="center" vertical="center" wrapText="1" shrinkToFit="1"/>
      <protection/>
    </xf>
    <xf numFmtId="0" fontId="0" fillId="33" borderId="12" xfId="40" applyFont="1" applyFill="1" applyBorder="1" applyAlignment="1">
      <alignment horizontal="center" vertical="center" wrapText="1" shrinkToFit="1"/>
      <protection/>
    </xf>
    <xf numFmtId="0" fontId="0" fillId="33" borderId="10" xfId="40" applyFont="1" applyFill="1" applyBorder="1" applyAlignment="1">
      <alignment horizontal="center" vertical="center" wrapText="1" shrinkToFit="1"/>
      <protection/>
    </xf>
    <xf numFmtId="0" fontId="7" fillId="0" borderId="0" xfId="0" applyFont="1" applyFill="1" applyAlignment="1">
      <alignment horizontal="center" vertical="center"/>
    </xf>
    <xf numFmtId="0" fontId="55" fillId="0" borderId="0" xfId="58" applyFont="1" applyAlignment="1">
      <alignment horizontal="center" vertical="center"/>
      <protection/>
    </xf>
    <xf numFmtId="0" fontId="55" fillId="0" borderId="0" xfId="50" applyFont="1" applyAlignment="1">
      <alignment horizontal="center" vertical="center"/>
      <protection/>
    </xf>
    <xf numFmtId="184" fontId="0" fillId="0" borderId="18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left"/>
    </xf>
    <xf numFmtId="0" fontId="7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>
      <alignment vertical="center" wrapText="1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0" fillId="33" borderId="20" xfId="0" applyFont="1" applyFill="1" applyBorder="1" applyAlignment="1">
      <alignment horizontal="center" vertical="center" wrapText="1" shrinkToFit="1"/>
    </xf>
    <xf numFmtId="0" fontId="0" fillId="33" borderId="12" xfId="0" applyFont="1" applyFill="1" applyBorder="1" applyAlignment="1">
      <alignment horizontal="center" vertical="center" wrapText="1" shrinkToFit="1"/>
    </xf>
    <xf numFmtId="0" fontId="0" fillId="33" borderId="10" xfId="0" applyFont="1" applyFill="1" applyBorder="1" applyAlignment="1">
      <alignment horizontal="center" vertical="center" wrapText="1" shrinkToFit="1"/>
    </xf>
    <xf numFmtId="0" fontId="55" fillId="0" borderId="0" xfId="80" applyFont="1" applyAlignment="1">
      <alignment horizontal="center" vertical="center"/>
      <protection/>
    </xf>
    <xf numFmtId="0" fontId="55" fillId="0" borderId="0" xfId="81" applyFont="1" applyAlignment="1">
      <alignment horizontal="center" vertical="center"/>
      <protection/>
    </xf>
    <xf numFmtId="0" fontId="3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3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3" fillId="0" borderId="10" xfId="0" applyFont="1" applyBorder="1" applyAlignment="1">
      <alignment vertical="center"/>
    </xf>
  </cellXfs>
  <cellStyles count="10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10" xfId="41"/>
    <cellStyle name="常规 2 2" xfId="42"/>
    <cellStyle name="常规 2 3" xfId="43"/>
    <cellStyle name="常规 2 4" xfId="44"/>
    <cellStyle name="常规 2 5" xfId="45"/>
    <cellStyle name="常规 2 6" xfId="46"/>
    <cellStyle name="常规 2 7" xfId="47"/>
    <cellStyle name="常规 2 8" xfId="48"/>
    <cellStyle name="常规 2 9" xfId="49"/>
    <cellStyle name="常规 3" xfId="50"/>
    <cellStyle name="常规 3 2" xfId="51"/>
    <cellStyle name="常规 3 3" xfId="52"/>
    <cellStyle name="常规 3 4" xfId="53"/>
    <cellStyle name="常规 3 4 2" xfId="54"/>
    <cellStyle name="常规 3 5" xfId="55"/>
    <cellStyle name="常规 3 6" xfId="56"/>
    <cellStyle name="常规 3 7" xfId="57"/>
    <cellStyle name="常规 4" xfId="58"/>
    <cellStyle name="常规 4 2" xfId="59"/>
    <cellStyle name="常规 4 2 2" xfId="60"/>
    <cellStyle name="常规 4 3" xfId="61"/>
    <cellStyle name="常规 4 4" xfId="62"/>
    <cellStyle name="常规 4 5" xfId="63"/>
    <cellStyle name="常规 4 6" xfId="64"/>
    <cellStyle name="常规 5" xfId="65"/>
    <cellStyle name="常规 5 2" xfId="66"/>
    <cellStyle name="常规 5 2 2" xfId="67"/>
    <cellStyle name="常规 5 3" xfId="68"/>
    <cellStyle name="常规 5 4" xfId="69"/>
    <cellStyle name="常规 5 5" xfId="70"/>
    <cellStyle name="常规 5 6" xfId="71"/>
    <cellStyle name="常规 6" xfId="72"/>
    <cellStyle name="常规 6 2" xfId="73"/>
    <cellStyle name="常规 6 2 2" xfId="74"/>
    <cellStyle name="常规 6 3" xfId="75"/>
    <cellStyle name="常规 6 4" xfId="76"/>
    <cellStyle name="常规 6 5" xfId="77"/>
    <cellStyle name="常规 6 6" xfId="78"/>
    <cellStyle name="常规 60" xfId="79"/>
    <cellStyle name="常规 7" xfId="80"/>
    <cellStyle name="常规 8" xfId="81"/>
    <cellStyle name="常规_2011年公共预算收入执行及2012年公共预算收入预算1.5晚清格式" xfId="82"/>
    <cellStyle name="常规_Sheet1" xfId="83"/>
    <cellStyle name="Hyperlink" xfId="84"/>
    <cellStyle name="好" xfId="85"/>
    <cellStyle name="汇总" xfId="86"/>
    <cellStyle name="Currency" xfId="87"/>
    <cellStyle name="Currency [0]" xfId="88"/>
    <cellStyle name="计算" xfId="89"/>
    <cellStyle name="检查单元格" xfId="90"/>
    <cellStyle name="解释性文本" xfId="91"/>
    <cellStyle name="警告文本" xfId="92"/>
    <cellStyle name="链接单元格" xfId="93"/>
    <cellStyle name="Comma" xfId="94"/>
    <cellStyle name="千位分隔 2" xfId="95"/>
    <cellStyle name="Comma [0]" xfId="96"/>
    <cellStyle name="强调文字颜色 1" xfId="97"/>
    <cellStyle name="强调文字颜色 2" xfId="98"/>
    <cellStyle name="强调文字颜色 3" xfId="99"/>
    <cellStyle name="强调文字颜色 4" xfId="100"/>
    <cellStyle name="强调文字颜色 5" xfId="101"/>
    <cellStyle name="强调文字颜色 6" xfId="102"/>
    <cellStyle name="适中" xfId="103"/>
    <cellStyle name="输出" xfId="104"/>
    <cellStyle name="输入" xfId="105"/>
    <cellStyle name="Followed Hyperlink" xfId="106"/>
    <cellStyle name="注释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zoomScalePageLayoutView="0" workbookViewId="0" topLeftCell="A1">
      <selection activeCell="A19" sqref="A19:IV19"/>
    </sheetView>
  </sheetViews>
  <sheetFormatPr defaultColWidth="9.00390625" defaultRowHeight="14.25"/>
  <cols>
    <col min="1" max="1" width="31.50390625" style="6" customWidth="1"/>
    <col min="2" max="3" width="15.50390625" style="4" customWidth="1"/>
    <col min="4" max="4" width="14.875" style="5" customWidth="1"/>
    <col min="5" max="16384" width="9.00390625" style="6" customWidth="1"/>
  </cols>
  <sheetData>
    <row r="1" spans="1:3" ht="15.75" customHeight="1">
      <c r="A1" s="144" t="s">
        <v>52</v>
      </c>
      <c r="B1" s="145"/>
      <c r="C1" s="145"/>
    </row>
    <row r="2" spans="1:4" ht="12.75" customHeight="1">
      <c r="A2" s="157" t="s">
        <v>124</v>
      </c>
      <c r="B2" s="157"/>
      <c r="C2" s="157"/>
      <c r="D2" s="157"/>
    </row>
    <row r="3" spans="1:4" ht="15.75" customHeight="1">
      <c r="A3" s="157"/>
      <c r="B3" s="157"/>
      <c r="C3" s="157"/>
      <c r="D3" s="157"/>
    </row>
    <row r="4" spans="1:4" ht="21" customHeight="1">
      <c r="A4" s="1"/>
      <c r="B4" s="7"/>
      <c r="C4" s="155" t="s">
        <v>0</v>
      </c>
      <c r="D4" s="155"/>
    </row>
    <row r="5" spans="1:4" s="10" customFormat="1" ht="39" customHeight="1">
      <c r="A5" s="95" t="s">
        <v>6</v>
      </c>
      <c r="B5" s="95" t="s">
        <v>681</v>
      </c>
      <c r="C5" s="96" t="s">
        <v>682</v>
      </c>
      <c r="D5" s="97" t="s">
        <v>2</v>
      </c>
    </row>
    <row r="6" spans="1:4" ht="29.25" customHeight="1">
      <c r="A6" s="98" t="s">
        <v>23</v>
      </c>
      <c r="B6" s="99">
        <v>39010.91</v>
      </c>
      <c r="C6" s="100">
        <f>'2018年一般公共预算支出执行情况表'!C6</f>
        <v>34848.36</v>
      </c>
      <c r="D6" s="101">
        <f>SUM(B6/C6-1)*100</f>
        <v>11.944751489022742</v>
      </c>
    </row>
    <row r="7" spans="1:4" ht="29.25" customHeight="1">
      <c r="A7" s="102" t="s">
        <v>11</v>
      </c>
      <c r="B7" s="99">
        <v>39449.14</v>
      </c>
      <c r="C7" s="100">
        <v>35317.22</v>
      </c>
      <c r="D7" s="101">
        <f aca="true" t="shared" si="0" ref="D7:D28">SUM(B7/C7-1)*100</f>
        <v>11.699448597596284</v>
      </c>
    </row>
    <row r="8" spans="1:4" ht="29.25" customHeight="1">
      <c r="A8" s="103" t="s">
        <v>683</v>
      </c>
      <c r="B8" s="80">
        <v>207259.23</v>
      </c>
      <c r="C8" s="100">
        <f>'2018年一般公共预算支出执行情况表'!C8</f>
        <v>179032.38</v>
      </c>
      <c r="D8" s="101">
        <f t="shared" si="0"/>
        <v>15.766337910494176</v>
      </c>
    </row>
    <row r="9" spans="1:4" ht="29.25" customHeight="1">
      <c r="A9" s="103" t="s">
        <v>12</v>
      </c>
      <c r="B9" s="80">
        <v>213052.27</v>
      </c>
      <c r="C9" s="100">
        <f>'2018年一般公共预算支出执行情况表'!C9</f>
        <v>172803.54</v>
      </c>
      <c r="D9" s="101">
        <f t="shared" si="0"/>
        <v>23.29161196581968</v>
      </c>
    </row>
    <row r="10" spans="1:4" ht="29.25" customHeight="1">
      <c r="A10" s="103" t="s">
        <v>129</v>
      </c>
      <c r="B10" s="80">
        <v>31770.59</v>
      </c>
      <c r="C10" s="100">
        <f>'2018年一般公共预算支出执行情况表'!C10</f>
        <v>28772.21</v>
      </c>
      <c r="D10" s="101">
        <f t="shared" si="0"/>
        <v>10.421097301875658</v>
      </c>
    </row>
    <row r="11" spans="1:4" ht="29.25" customHeight="1">
      <c r="A11" s="103" t="s">
        <v>13</v>
      </c>
      <c r="B11" s="80">
        <v>142306.08</v>
      </c>
      <c r="C11" s="100">
        <f>'2018年一般公共预算支出执行情况表'!C11</f>
        <v>116246.37</v>
      </c>
      <c r="D11" s="101">
        <f t="shared" si="0"/>
        <v>22.417654848061062</v>
      </c>
    </row>
    <row r="12" spans="1:4" ht="29.25" customHeight="1">
      <c r="A12" s="103" t="s">
        <v>130</v>
      </c>
      <c r="B12" s="80">
        <v>33443.21</v>
      </c>
      <c r="C12" s="100">
        <f>'2018年一般公共预算支出执行情况表'!C12</f>
        <v>31542.1</v>
      </c>
      <c r="D12" s="101">
        <f t="shared" si="0"/>
        <v>6.027214421360649</v>
      </c>
    </row>
    <row r="13" spans="1:4" ht="29.25" customHeight="1">
      <c r="A13" s="103" t="s">
        <v>14</v>
      </c>
      <c r="B13" s="80">
        <v>5886</v>
      </c>
      <c r="C13" s="100">
        <f>'2018年一般公共预算支出执行情况表'!C13</f>
        <v>5067.85</v>
      </c>
      <c r="D13" s="101">
        <f t="shared" si="0"/>
        <v>16.143926911806773</v>
      </c>
    </row>
    <row r="14" spans="1:4" ht="29.25" customHeight="1">
      <c r="A14" s="103" t="s">
        <v>18</v>
      </c>
      <c r="B14" s="80">
        <v>336725.29</v>
      </c>
      <c r="C14" s="100">
        <f>'2018年一般公共预算支出执行情况表'!C14</f>
        <v>245027.34</v>
      </c>
      <c r="D14" s="101">
        <f t="shared" si="0"/>
        <v>37.423558530244016</v>
      </c>
    </row>
    <row r="15" spans="1:4" ht="29.25" customHeight="1">
      <c r="A15" s="103" t="s">
        <v>19</v>
      </c>
      <c r="B15" s="80">
        <v>9556.36</v>
      </c>
      <c r="C15" s="100">
        <f>'2018年一般公共预算支出执行情况表'!C15</f>
        <v>9402.43</v>
      </c>
      <c r="D15" s="101">
        <f t="shared" si="0"/>
        <v>1.637129975974294</v>
      </c>
    </row>
    <row r="16" spans="1:4" ht="29.25" customHeight="1">
      <c r="A16" s="103" t="s">
        <v>15</v>
      </c>
      <c r="B16" s="80">
        <f>42053+4000</f>
        <v>46053</v>
      </c>
      <c r="C16" s="100">
        <f>55682.23+3700</f>
        <v>59382.23</v>
      </c>
      <c r="D16" s="101">
        <f t="shared" si="0"/>
        <v>-22.44649619928386</v>
      </c>
    </row>
    <row r="17" spans="1:4" ht="29.25" customHeight="1">
      <c r="A17" s="104" t="s">
        <v>35</v>
      </c>
      <c r="B17" s="80">
        <v>15441</v>
      </c>
      <c r="C17" s="100">
        <f>'2018年一般公共预算支出执行情况表'!C17</f>
        <v>14808</v>
      </c>
      <c r="D17" s="101">
        <f t="shared" si="0"/>
        <v>4.274716369529985</v>
      </c>
    </row>
    <row r="18" spans="1:4" ht="29.25" customHeight="1">
      <c r="A18" s="104" t="s">
        <v>144</v>
      </c>
      <c r="B18" s="80">
        <v>2086.5</v>
      </c>
      <c r="C18" s="100">
        <f>'2018年一般公共预算支出执行情况表'!C18</f>
        <v>2006.54</v>
      </c>
      <c r="D18" s="101">
        <f t="shared" si="0"/>
        <v>3.984969150876627</v>
      </c>
    </row>
    <row r="19" spans="1:4" ht="29.25" customHeight="1">
      <c r="A19" s="104" t="s">
        <v>36</v>
      </c>
      <c r="B19" s="80">
        <v>14951.89</v>
      </c>
      <c r="C19" s="100">
        <f>'2018年一般公共预算支出执行情况表'!C19</f>
        <v>14336.71</v>
      </c>
      <c r="D19" s="101">
        <f t="shared" si="0"/>
        <v>4.290942622121818</v>
      </c>
    </row>
    <row r="20" spans="1:4" ht="29.25" customHeight="1">
      <c r="A20" s="105" t="s">
        <v>684</v>
      </c>
      <c r="B20" s="80">
        <v>2164.24</v>
      </c>
      <c r="C20" s="100">
        <v>2054.88</v>
      </c>
      <c r="D20" s="101">
        <f t="shared" si="0"/>
        <v>5.321965272911289</v>
      </c>
    </row>
    <row r="21" spans="1:4" ht="29.25" customHeight="1">
      <c r="A21" s="104" t="s">
        <v>685</v>
      </c>
      <c r="B21" s="80">
        <v>12000</v>
      </c>
      <c r="C21" s="100"/>
      <c r="D21" s="101"/>
    </row>
    <row r="22" spans="1:4" ht="29.25" customHeight="1">
      <c r="A22" s="103" t="s">
        <v>686</v>
      </c>
      <c r="B22" s="80">
        <v>10794.29</v>
      </c>
      <c r="C22" s="100">
        <f>'2018年一般公共预算支出执行情况表'!C21</f>
        <v>4461.13</v>
      </c>
      <c r="D22" s="101">
        <f t="shared" si="0"/>
        <v>141.96313490079868</v>
      </c>
    </row>
    <row r="23" spans="1:4" ht="29.25" customHeight="1">
      <c r="A23" s="103" t="s">
        <v>687</v>
      </c>
      <c r="B23" s="80">
        <v>17850</v>
      </c>
      <c r="C23" s="100">
        <f>'2018年一般公共预算支出执行情况表'!C22</f>
        <v>17848.66</v>
      </c>
      <c r="D23" s="101">
        <f t="shared" si="0"/>
        <v>0.007507566394338028</v>
      </c>
    </row>
    <row r="24" spans="1:4" ht="29.25" customHeight="1">
      <c r="A24" s="103" t="s">
        <v>688</v>
      </c>
      <c r="B24" s="80">
        <v>200</v>
      </c>
      <c r="C24" s="100">
        <f>'2018年一般公共预算支出执行情况表'!C23</f>
        <v>37</v>
      </c>
      <c r="D24" s="101">
        <f t="shared" si="0"/>
        <v>440.5405405405405</v>
      </c>
    </row>
    <row r="25" spans="1:4" ht="29.25" customHeight="1">
      <c r="A25" s="106" t="s">
        <v>10</v>
      </c>
      <c r="B25" s="107">
        <f>SUM(B6:B24)</f>
        <v>1180000</v>
      </c>
      <c r="C25" s="100">
        <f>'2018年一般公共预算支出执行情况表'!C24</f>
        <v>972994.9500000001</v>
      </c>
      <c r="D25" s="101">
        <f t="shared" si="0"/>
        <v>21.275038477846152</v>
      </c>
    </row>
    <row r="26" spans="1:4" ht="29.25" customHeight="1">
      <c r="A26" s="106" t="s">
        <v>33</v>
      </c>
      <c r="B26" s="107">
        <v>15000</v>
      </c>
      <c r="C26" s="108"/>
      <c r="D26" s="101"/>
    </row>
    <row r="27" spans="1:4" ht="29.25" customHeight="1">
      <c r="A27" s="106" t="s">
        <v>9</v>
      </c>
      <c r="B27" s="80">
        <v>80000</v>
      </c>
      <c r="C27" s="100">
        <f>'2018年一般公共预算支出执行情况表'!C26</f>
        <v>94159.31</v>
      </c>
      <c r="D27" s="101">
        <f t="shared" si="0"/>
        <v>-15.037610194892038</v>
      </c>
    </row>
    <row r="28" spans="1:4" ht="29.25" customHeight="1">
      <c r="A28" s="106" t="s">
        <v>20</v>
      </c>
      <c r="B28" s="107">
        <f>SUM(B25:B27)</f>
        <v>1275000</v>
      </c>
      <c r="C28" s="100">
        <f>'2018年一般公共预算支出执行情况表'!C27</f>
        <v>1067154.26</v>
      </c>
      <c r="D28" s="101">
        <f t="shared" si="0"/>
        <v>19.476634989959173</v>
      </c>
    </row>
    <row r="29" spans="1:4" ht="47.25" customHeight="1">
      <c r="A29" s="159" t="s">
        <v>689</v>
      </c>
      <c r="B29" s="159"/>
      <c r="C29" s="159"/>
      <c r="D29" s="159"/>
    </row>
    <row r="30" spans="1:4" ht="25.5" customHeight="1">
      <c r="A30" s="158"/>
      <c r="B30" s="158"/>
      <c r="C30" s="158"/>
      <c r="D30" s="158"/>
    </row>
    <row r="31" spans="1:4" ht="12.75">
      <c r="A31" s="156"/>
      <c r="B31" s="156"/>
      <c r="C31" s="156"/>
      <c r="D31" s="156"/>
    </row>
    <row r="33" ht="12.75">
      <c r="B33" s="21"/>
    </row>
  </sheetData>
  <sheetProtection/>
  <mergeCells count="6">
    <mergeCell ref="A1:C1"/>
    <mergeCell ref="A31:D31"/>
    <mergeCell ref="A2:D3"/>
    <mergeCell ref="C4:D4"/>
    <mergeCell ref="A30:D30"/>
    <mergeCell ref="A29:D29"/>
  </mergeCells>
  <printOptions horizontalCentered="1"/>
  <pageMargins left="0.7480314960629921" right="0.7480314960629921" top="0.7480314960629921" bottom="0.7874015748031497" header="0.5118110236220472" footer="0.5118110236220472"/>
  <pageSetup fitToHeight="1" fitToWidth="1"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18"/>
  <sheetViews>
    <sheetView zoomScalePageLayoutView="0" workbookViewId="0" topLeftCell="A1">
      <selection activeCell="G316" sqref="G316"/>
    </sheetView>
  </sheetViews>
  <sheetFormatPr defaultColWidth="9.00390625" defaultRowHeight="14.25"/>
  <cols>
    <col min="1" max="1" width="36.125" style="49" customWidth="1"/>
    <col min="2" max="2" width="20.50390625" style="1" customWidth="1"/>
    <col min="3" max="3" width="19.50390625" style="2" customWidth="1"/>
    <col min="4" max="16384" width="9.00390625" style="1" customWidth="1"/>
  </cols>
  <sheetData>
    <row r="1" spans="1:3" ht="18" customHeight="1">
      <c r="A1" s="144" t="s">
        <v>53</v>
      </c>
      <c r="B1" s="145"/>
      <c r="C1" s="145"/>
    </row>
    <row r="2" spans="1:3" ht="28.5" customHeight="1">
      <c r="A2" s="146" t="s">
        <v>645</v>
      </c>
      <c r="B2" s="147"/>
      <c r="C2" s="147"/>
    </row>
    <row r="3" spans="1:3" ht="21" customHeight="1">
      <c r="A3" s="48"/>
      <c r="B3" s="44"/>
      <c r="C3" s="44" t="s">
        <v>8</v>
      </c>
    </row>
    <row r="4" spans="1:3" ht="35.25" customHeight="1">
      <c r="A4" s="73" t="s">
        <v>50</v>
      </c>
      <c r="B4" s="73" t="s">
        <v>51</v>
      </c>
      <c r="C4" s="74" t="s">
        <v>57</v>
      </c>
    </row>
    <row r="5" spans="1:3" ht="18" customHeight="1">
      <c r="A5" s="109" t="s">
        <v>60</v>
      </c>
      <c r="B5" s="110">
        <f>B6+B10+B14+B22+B26+B29+B35+B39+B42+B45+B47+B51+B54+B57+B60+B63+B66</f>
        <v>40456.909999999996</v>
      </c>
      <c r="C5" s="110">
        <f>C6+C10+C14+C22+C26+C29+C35+C39+C42+C45+C47+C51+C54+C57+C60+C63+C66</f>
        <v>1446</v>
      </c>
    </row>
    <row r="6" spans="1:3" ht="18" customHeight="1">
      <c r="A6" s="109" t="s">
        <v>146</v>
      </c>
      <c r="B6" s="110">
        <f>SUM(B7:B9)</f>
        <v>1365.14</v>
      </c>
      <c r="C6" s="81"/>
    </row>
    <row r="7" spans="1:3" ht="18" customHeight="1">
      <c r="A7" s="109" t="s">
        <v>646</v>
      </c>
      <c r="B7" s="110">
        <v>1295.14</v>
      </c>
      <c r="C7" s="80"/>
    </row>
    <row r="8" spans="1:3" ht="18" customHeight="1">
      <c r="A8" s="109" t="s">
        <v>147</v>
      </c>
      <c r="B8" s="110">
        <v>20</v>
      </c>
      <c r="C8" s="80"/>
    </row>
    <row r="9" spans="1:3" ht="18" customHeight="1">
      <c r="A9" s="109" t="s">
        <v>148</v>
      </c>
      <c r="B9" s="110">
        <v>50</v>
      </c>
      <c r="C9" s="80"/>
    </row>
    <row r="10" spans="1:3" ht="18" customHeight="1">
      <c r="A10" s="109" t="s">
        <v>149</v>
      </c>
      <c r="B10" s="110">
        <f>SUM(B11:B13)</f>
        <v>1001.66</v>
      </c>
      <c r="C10" s="80"/>
    </row>
    <row r="11" spans="1:3" ht="18" customHeight="1">
      <c r="A11" s="109" t="s">
        <v>646</v>
      </c>
      <c r="B11" s="110">
        <v>914.66</v>
      </c>
      <c r="C11" s="80"/>
    </row>
    <row r="12" spans="1:3" ht="18" customHeight="1">
      <c r="A12" s="109" t="s">
        <v>150</v>
      </c>
      <c r="B12" s="110">
        <v>50</v>
      </c>
      <c r="C12" s="80"/>
    </row>
    <row r="13" spans="1:3" ht="18" customHeight="1">
      <c r="A13" s="109" t="s">
        <v>151</v>
      </c>
      <c r="B13" s="110">
        <v>37</v>
      </c>
      <c r="C13" s="80"/>
    </row>
    <row r="14" spans="1:3" ht="18" customHeight="1">
      <c r="A14" s="109" t="s">
        <v>152</v>
      </c>
      <c r="B14" s="110">
        <f>SUM(B15:B21)</f>
        <v>12647.370000000003</v>
      </c>
      <c r="C14" s="80"/>
    </row>
    <row r="15" spans="1:3" ht="18" customHeight="1">
      <c r="A15" s="109" t="s">
        <v>646</v>
      </c>
      <c r="B15" s="110">
        <v>2506.87</v>
      </c>
      <c r="C15" s="80"/>
    </row>
    <row r="16" spans="1:3" ht="18" customHeight="1">
      <c r="A16" s="109" t="s">
        <v>647</v>
      </c>
      <c r="B16" s="110">
        <v>2243.73</v>
      </c>
      <c r="C16" s="80"/>
    </row>
    <row r="17" spans="1:3" ht="18" customHeight="1">
      <c r="A17" s="109" t="s">
        <v>648</v>
      </c>
      <c r="B17" s="110">
        <v>3511.53</v>
      </c>
      <c r="C17" s="80"/>
    </row>
    <row r="18" spans="1:3" ht="18" customHeight="1">
      <c r="A18" s="109" t="s">
        <v>153</v>
      </c>
      <c r="B18" s="110">
        <v>369.45</v>
      </c>
      <c r="C18" s="80"/>
    </row>
    <row r="19" spans="1:3" ht="18" customHeight="1">
      <c r="A19" s="109" t="s">
        <v>154</v>
      </c>
      <c r="B19" s="110">
        <v>300</v>
      </c>
      <c r="C19" s="80"/>
    </row>
    <row r="20" spans="1:3" ht="18" customHeight="1">
      <c r="A20" s="109" t="s">
        <v>145</v>
      </c>
      <c r="B20" s="110">
        <v>1809.6</v>
      </c>
      <c r="C20" s="80"/>
    </row>
    <row r="21" spans="1:3" ht="16.5" customHeight="1">
      <c r="A21" s="118" t="s">
        <v>697</v>
      </c>
      <c r="B21" s="110">
        <v>1906.19</v>
      </c>
      <c r="C21" s="80"/>
    </row>
    <row r="22" spans="1:3" ht="18" customHeight="1">
      <c r="A22" s="109" t="s">
        <v>155</v>
      </c>
      <c r="B22" s="110">
        <f>SUM(B23:B25)</f>
        <v>3494.55</v>
      </c>
      <c r="C22" s="110">
        <f>SUM(C23:C25)</f>
        <v>570</v>
      </c>
    </row>
    <row r="23" spans="1:3" ht="18" customHeight="1">
      <c r="A23" s="109" t="s">
        <v>646</v>
      </c>
      <c r="B23" s="110">
        <v>1463.47</v>
      </c>
      <c r="C23" s="80"/>
    </row>
    <row r="24" spans="1:3" ht="18" customHeight="1">
      <c r="A24" s="109" t="s">
        <v>647</v>
      </c>
      <c r="B24" s="110">
        <v>1361.08</v>
      </c>
      <c r="C24" s="80"/>
    </row>
    <row r="25" spans="1:3" ht="18" customHeight="1">
      <c r="A25" s="109" t="s">
        <v>156</v>
      </c>
      <c r="B25" s="110">
        <f>100+570</f>
        <v>670</v>
      </c>
      <c r="C25" s="80">
        <v>570</v>
      </c>
    </row>
    <row r="26" spans="1:3" ht="18" customHeight="1">
      <c r="A26" s="109" t="s">
        <v>157</v>
      </c>
      <c r="B26" s="110">
        <f>SUM(B27:B28)</f>
        <v>246.76</v>
      </c>
      <c r="C26" s="80"/>
    </row>
    <row r="27" spans="1:3" ht="18" customHeight="1">
      <c r="A27" s="109" t="s">
        <v>647</v>
      </c>
      <c r="B27" s="110">
        <v>180</v>
      </c>
      <c r="C27" s="80"/>
    </row>
    <row r="28" spans="1:3" ht="18" customHeight="1">
      <c r="A28" s="109" t="s">
        <v>158</v>
      </c>
      <c r="B28" s="110">
        <v>66.76</v>
      </c>
      <c r="C28" s="80"/>
    </row>
    <row r="29" spans="1:3" ht="18" customHeight="1">
      <c r="A29" s="109" t="s">
        <v>159</v>
      </c>
      <c r="B29" s="110">
        <f>SUM(B30:B34)</f>
        <v>2900.3599999999997</v>
      </c>
      <c r="C29" s="110">
        <f>SUM(C30:C34)</f>
        <v>656</v>
      </c>
    </row>
    <row r="30" spans="1:3" ht="18" customHeight="1">
      <c r="A30" s="109" t="s">
        <v>646</v>
      </c>
      <c r="B30" s="110">
        <v>1263.36</v>
      </c>
      <c r="C30" s="80"/>
    </row>
    <row r="31" spans="1:3" ht="18" customHeight="1">
      <c r="A31" s="109" t="s">
        <v>647</v>
      </c>
      <c r="B31" s="110">
        <v>176</v>
      </c>
      <c r="C31" s="80"/>
    </row>
    <row r="32" spans="1:3" ht="18" customHeight="1">
      <c r="A32" s="109" t="s">
        <v>649</v>
      </c>
      <c r="B32" s="110">
        <v>180</v>
      </c>
      <c r="C32" s="80"/>
    </row>
    <row r="33" spans="1:3" ht="18" customHeight="1">
      <c r="A33" s="109" t="s">
        <v>160</v>
      </c>
      <c r="B33" s="110">
        <v>625</v>
      </c>
      <c r="C33" s="80"/>
    </row>
    <row r="34" spans="1:3" ht="18" customHeight="1">
      <c r="A34" s="109" t="s">
        <v>650</v>
      </c>
      <c r="B34" s="110">
        <v>656</v>
      </c>
      <c r="C34" s="80">
        <v>656</v>
      </c>
    </row>
    <row r="35" spans="1:3" ht="18" customHeight="1">
      <c r="A35" s="109" t="s">
        <v>161</v>
      </c>
      <c r="B35" s="110">
        <f>SUM(B36:B38)</f>
        <v>1608.81</v>
      </c>
      <c r="C35" s="110">
        <f>SUM(C36:C38)</f>
        <v>50</v>
      </c>
    </row>
    <row r="36" spans="1:3" ht="18" customHeight="1">
      <c r="A36" s="109" t="s">
        <v>646</v>
      </c>
      <c r="B36" s="110">
        <v>608.81</v>
      </c>
      <c r="C36" s="80"/>
    </row>
    <row r="37" spans="1:3" ht="18" customHeight="1">
      <c r="A37" s="109" t="s">
        <v>162</v>
      </c>
      <c r="B37" s="110">
        <f>930+50</f>
        <v>980</v>
      </c>
      <c r="C37" s="80">
        <v>50</v>
      </c>
    </row>
    <row r="38" spans="1:3" ht="18" customHeight="1">
      <c r="A38" s="109" t="s">
        <v>649</v>
      </c>
      <c r="B38" s="110">
        <v>20</v>
      </c>
      <c r="C38" s="80"/>
    </row>
    <row r="39" spans="1:3" ht="18" customHeight="1">
      <c r="A39" s="109" t="s">
        <v>163</v>
      </c>
      <c r="B39" s="110">
        <f>SUM(B40:B41)</f>
        <v>1287.53</v>
      </c>
      <c r="C39" s="80"/>
    </row>
    <row r="40" spans="1:3" ht="18" customHeight="1">
      <c r="A40" s="109" t="s">
        <v>646</v>
      </c>
      <c r="B40" s="110">
        <v>1187.53</v>
      </c>
      <c r="C40" s="80"/>
    </row>
    <row r="41" spans="1:3" ht="18" customHeight="1">
      <c r="A41" s="109" t="s">
        <v>647</v>
      </c>
      <c r="B41" s="110">
        <v>100</v>
      </c>
      <c r="C41" s="80"/>
    </row>
    <row r="42" spans="1:3" ht="18" customHeight="1">
      <c r="A42" s="109" t="s">
        <v>164</v>
      </c>
      <c r="B42" s="110">
        <f>SUM(B43:B44)</f>
        <v>1231.27</v>
      </c>
      <c r="C42" s="80"/>
    </row>
    <row r="43" spans="1:3" ht="18" customHeight="1">
      <c r="A43" s="109" t="s">
        <v>646</v>
      </c>
      <c r="B43" s="110">
        <v>1061.27</v>
      </c>
      <c r="C43" s="80"/>
    </row>
    <row r="44" spans="1:3" ht="18" customHeight="1">
      <c r="A44" s="109" t="s">
        <v>647</v>
      </c>
      <c r="B44" s="110">
        <v>170</v>
      </c>
      <c r="C44" s="80"/>
    </row>
    <row r="45" spans="1:3" ht="18" customHeight="1">
      <c r="A45" s="109" t="s">
        <v>165</v>
      </c>
      <c r="B45" s="110">
        <f>SUM(B46)</f>
        <v>20</v>
      </c>
      <c r="C45" s="80"/>
    </row>
    <row r="46" spans="1:3" ht="18" customHeight="1">
      <c r="A46" s="109" t="s">
        <v>166</v>
      </c>
      <c r="B46" s="110">
        <v>20</v>
      </c>
      <c r="C46" s="80"/>
    </row>
    <row r="47" spans="1:3" ht="18" customHeight="1">
      <c r="A47" s="109" t="s">
        <v>167</v>
      </c>
      <c r="B47" s="110">
        <f>SUM(B48:B50)</f>
        <v>422.94</v>
      </c>
      <c r="C47" s="80"/>
    </row>
    <row r="48" spans="1:3" ht="18" customHeight="1">
      <c r="A48" s="109" t="s">
        <v>646</v>
      </c>
      <c r="B48" s="110">
        <v>360.94</v>
      </c>
      <c r="C48" s="80"/>
    </row>
    <row r="49" spans="1:3" ht="18" customHeight="1">
      <c r="A49" s="109" t="s">
        <v>647</v>
      </c>
      <c r="B49" s="110">
        <v>6</v>
      </c>
      <c r="C49" s="80"/>
    </row>
    <row r="50" spans="1:3" ht="18" customHeight="1">
      <c r="A50" s="109" t="s">
        <v>168</v>
      </c>
      <c r="B50" s="110">
        <v>56</v>
      </c>
      <c r="C50" s="80"/>
    </row>
    <row r="51" spans="1:3" ht="18" customHeight="1">
      <c r="A51" s="109" t="s">
        <v>61</v>
      </c>
      <c r="B51" s="110">
        <f>SUM(B52:B53)</f>
        <v>789.73</v>
      </c>
      <c r="C51" s="80"/>
    </row>
    <row r="52" spans="1:3" ht="18" customHeight="1">
      <c r="A52" s="109" t="s">
        <v>646</v>
      </c>
      <c r="B52" s="110">
        <v>578.73</v>
      </c>
      <c r="C52" s="80"/>
    </row>
    <row r="53" spans="1:3" ht="18" customHeight="1">
      <c r="A53" s="109" t="s">
        <v>647</v>
      </c>
      <c r="B53" s="110">
        <v>211</v>
      </c>
      <c r="C53" s="80"/>
    </row>
    <row r="54" spans="1:3" ht="18" customHeight="1">
      <c r="A54" s="109" t="s">
        <v>169</v>
      </c>
      <c r="B54" s="110">
        <f>SUM(B55:B56)</f>
        <v>4475.85</v>
      </c>
      <c r="C54" s="80"/>
    </row>
    <row r="55" spans="1:3" ht="18" customHeight="1">
      <c r="A55" s="109" t="s">
        <v>646</v>
      </c>
      <c r="B55" s="110">
        <v>1037.35</v>
      </c>
      <c r="C55" s="80"/>
    </row>
    <row r="56" spans="1:3" ht="18" customHeight="1">
      <c r="A56" s="109" t="s">
        <v>647</v>
      </c>
      <c r="B56" s="110">
        <v>3438.5</v>
      </c>
      <c r="C56" s="80"/>
    </row>
    <row r="57" spans="1:3" ht="18" customHeight="1">
      <c r="A57" s="109" t="s">
        <v>170</v>
      </c>
      <c r="B57" s="110">
        <f>SUM(B58:B59)</f>
        <v>2804.57</v>
      </c>
      <c r="C57" s="80"/>
    </row>
    <row r="58" spans="1:3" ht="18" customHeight="1">
      <c r="A58" s="109" t="s">
        <v>646</v>
      </c>
      <c r="B58" s="110">
        <v>414.57</v>
      </c>
      <c r="C58" s="80"/>
    </row>
    <row r="59" spans="1:3" ht="18" customHeight="1">
      <c r="A59" s="109" t="s">
        <v>647</v>
      </c>
      <c r="B59" s="110">
        <v>2390</v>
      </c>
      <c r="C59" s="80"/>
    </row>
    <row r="60" spans="1:3" ht="18" customHeight="1">
      <c r="A60" s="109" t="s">
        <v>171</v>
      </c>
      <c r="B60" s="110">
        <f>SUM(B61:B62)</f>
        <v>596.8399999999999</v>
      </c>
      <c r="C60" s="80"/>
    </row>
    <row r="61" spans="1:3" ht="18" customHeight="1">
      <c r="A61" s="109" t="s">
        <v>646</v>
      </c>
      <c r="B61" s="110">
        <v>426.84</v>
      </c>
      <c r="C61" s="80"/>
    </row>
    <row r="62" spans="1:3" ht="18" customHeight="1">
      <c r="A62" s="109" t="s">
        <v>172</v>
      </c>
      <c r="B62" s="110">
        <v>170</v>
      </c>
      <c r="C62" s="80"/>
    </row>
    <row r="63" spans="1:3" ht="18" customHeight="1">
      <c r="A63" s="109" t="s">
        <v>173</v>
      </c>
      <c r="B63" s="110">
        <f>SUM(B64:B65)</f>
        <v>900.99</v>
      </c>
      <c r="C63" s="80"/>
    </row>
    <row r="64" spans="1:3" ht="18" customHeight="1">
      <c r="A64" s="109" t="s">
        <v>646</v>
      </c>
      <c r="B64" s="110">
        <v>387.73</v>
      </c>
      <c r="C64" s="80"/>
    </row>
    <row r="65" spans="1:3" ht="18" customHeight="1">
      <c r="A65" s="109" t="s">
        <v>647</v>
      </c>
      <c r="B65" s="110">
        <v>513.26</v>
      </c>
      <c r="C65" s="80"/>
    </row>
    <row r="66" spans="1:3" ht="18" customHeight="1">
      <c r="A66" s="109" t="s">
        <v>174</v>
      </c>
      <c r="B66" s="110">
        <f>SUM(B67:B74)</f>
        <v>4662.54</v>
      </c>
      <c r="C66" s="110">
        <f>SUM(C67:C74)</f>
        <v>170</v>
      </c>
    </row>
    <row r="67" spans="1:3" ht="18" customHeight="1">
      <c r="A67" s="109" t="s">
        <v>646</v>
      </c>
      <c r="B67" s="110">
        <v>3012.43</v>
      </c>
      <c r="C67" s="80"/>
    </row>
    <row r="68" spans="1:3" ht="18" customHeight="1">
      <c r="A68" s="109" t="s">
        <v>647</v>
      </c>
      <c r="B68" s="110">
        <v>304.17</v>
      </c>
      <c r="C68" s="80"/>
    </row>
    <row r="69" spans="1:3" ht="18" customHeight="1">
      <c r="A69" s="109" t="s">
        <v>175</v>
      </c>
      <c r="B69" s="110">
        <f>460.34+170</f>
        <v>630.3399999999999</v>
      </c>
      <c r="C69" s="80">
        <v>170</v>
      </c>
    </row>
    <row r="70" spans="1:3" ht="18" customHeight="1">
      <c r="A70" s="109" t="s">
        <v>176</v>
      </c>
      <c r="B70" s="110">
        <v>8</v>
      </c>
      <c r="C70" s="80"/>
    </row>
    <row r="71" spans="1:3" ht="18" customHeight="1">
      <c r="A71" s="109" t="s">
        <v>177</v>
      </c>
      <c r="B71" s="110">
        <v>262</v>
      </c>
      <c r="C71" s="80"/>
    </row>
    <row r="72" spans="1:3" ht="18" customHeight="1">
      <c r="A72" s="109" t="s">
        <v>649</v>
      </c>
      <c r="B72" s="110">
        <v>33.6</v>
      </c>
      <c r="C72" s="80"/>
    </row>
    <row r="73" spans="1:3" ht="18" customHeight="1">
      <c r="A73" s="109" t="s">
        <v>178</v>
      </c>
      <c r="B73" s="110">
        <v>362</v>
      </c>
      <c r="C73" s="80"/>
    </row>
    <row r="74" spans="1:3" ht="18" customHeight="1">
      <c r="A74" s="109" t="s">
        <v>179</v>
      </c>
      <c r="B74" s="110">
        <v>50</v>
      </c>
      <c r="C74" s="80"/>
    </row>
    <row r="75" spans="1:3" ht="18" customHeight="1">
      <c r="A75" s="109" t="s">
        <v>180</v>
      </c>
      <c r="B75" s="110">
        <f>SUM(B76,B83,B87,B92,)</f>
        <v>40452.14</v>
      </c>
      <c r="C75" s="110">
        <f>SUM(C76,C83,C87,C92,)</f>
        <v>1003</v>
      </c>
    </row>
    <row r="76" spans="1:3" ht="18" customHeight="1">
      <c r="A76" s="109" t="s">
        <v>181</v>
      </c>
      <c r="B76" s="110">
        <f>SUM(B77:B82)</f>
        <v>32076.21</v>
      </c>
      <c r="C76" s="110">
        <f>SUM(C77:C82)</f>
        <v>243</v>
      </c>
    </row>
    <row r="77" spans="1:3" ht="18" customHeight="1">
      <c r="A77" s="109" t="s">
        <v>646</v>
      </c>
      <c r="B77" s="110">
        <v>10117</v>
      </c>
      <c r="C77" s="80"/>
    </row>
    <row r="78" spans="1:3" ht="18" customHeight="1">
      <c r="A78" s="109" t="s">
        <v>647</v>
      </c>
      <c r="B78" s="110">
        <f>2456+243</f>
        <v>2699</v>
      </c>
      <c r="C78" s="80">
        <v>243</v>
      </c>
    </row>
    <row r="79" spans="1:3" ht="18" customHeight="1">
      <c r="A79" s="109" t="s">
        <v>649</v>
      </c>
      <c r="B79" s="110">
        <v>180.6</v>
      </c>
      <c r="C79" s="80"/>
    </row>
    <row r="80" spans="1:3" ht="18" customHeight="1">
      <c r="A80" s="109" t="s">
        <v>182</v>
      </c>
      <c r="B80" s="110">
        <v>4642.13</v>
      </c>
      <c r="C80" s="80"/>
    </row>
    <row r="81" spans="1:3" ht="18" customHeight="1">
      <c r="A81" s="109" t="s">
        <v>145</v>
      </c>
      <c r="B81" s="110">
        <v>3437.48</v>
      </c>
      <c r="C81" s="80"/>
    </row>
    <row r="82" spans="1:3" ht="18" customHeight="1">
      <c r="A82" s="109" t="s">
        <v>183</v>
      </c>
      <c r="B82" s="110">
        <v>11000</v>
      </c>
      <c r="C82" s="80"/>
    </row>
    <row r="83" spans="1:3" ht="18" customHeight="1">
      <c r="A83" s="109" t="s">
        <v>184</v>
      </c>
      <c r="B83" s="110">
        <f>SUM(B84:B86)</f>
        <v>1897.21</v>
      </c>
      <c r="C83" s="110">
        <f>SUM(C84:C86)</f>
        <v>130</v>
      </c>
    </row>
    <row r="84" spans="1:3" ht="18" customHeight="1">
      <c r="A84" s="109" t="s">
        <v>646</v>
      </c>
      <c r="B84" s="110">
        <v>1298.39</v>
      </c>
      <c r="C84" s="80"/>
    </row>
    <row r="85" spans="1:3" ht="18" customHeight="1">
      <c r="A85" s="109" t="s">
        <v>647</v>
      </c>
      <c r="B85" s="110">
        <f>128.82+130</f>
        <v>258.82</v>
      </c>
      <c r="C85" s="80">
        <v>130</v>
      </c>
    </row>
    <row r="86" spans="1:3" ht="18" customHeight="1">
      <c r="A86" s="109" t="s">
        <v>185</v>
      </c>
      <c r="B86" s="110">
        <v>340</v>
      </c>
      <c r="C86" s="80"/>
    </row>
    <row r="87" spans="1:3" ht="18" customHeight="1">
      <c r="A87" s="109" t="s">
        <v>186</v>
      </c>
      <c r="B87" s="110">
        <f>SUM(B88:B91)</f>
        <v>5294.639999999999</v>
      </c>
      <c r="C87" s="110">
        <f>SUM(C88:C91)</f>
        <v>630</v>
      </c>
    </row>
    <row r="88" spans="1:3" ht="18" customHeight="1">
      <c r="A88" s="109" t="s">
        <v>646</v>
      </c>
      <c r="B88" s="110">
        <v>2502.64</v>
      </c>
      <c r="C88" s="80"/>
    </row>
    <row r="89" spans="1:3" ht="18" customHeight="1">
      <c r="A89" s="109" t="s">
        <v>647</v>
      </c>
      <c r="B89" s="110">
        <v>322</v>
      </c>
      <c r="C89" s="80"/>
    </row>
    <row r="90" spans="1:3" ht="18" customHeight="1">
      <c r="A90" s="109" t="s">
        <v>187</v>
      </c>
      <c r="B90" s="110">
        <f>1240+350</f>
        <v>1590</v>
      </c>
      <c r="C90" s="80">
        <v>350</v>
      </c>
    </row>
    <row r="91" spans="1:3" ht="18" customHeight="1">
      <c r="A91" s="109" t="s">
        <v>188</v>
      </c>
      <c r="B91" s="110">
        <f>600+280</f>
        <v>880</v>
      </c>
      <c r="C91" s="80">
        <v>280</v>
      </c>
    </row>
    <row r="92" spans="1:3" ht="18" customHeight="1">
      <c r="A92" s="109" t="s">
        <v>189</v>
      </c>
      <c r="B92" s="110">
        <f>SUM(B93:B97)</f>
        <v>1184.08</v>
      </c>
      <c r="C92" s="80"/>
    </row>
    <row r="93" spans="1:3" ht="18" customHeight="1">
      <c r="A93" s="109" t="s">
        <v>646</v>
      </c>
      <c r="B93" s="110">
        <v>759.34</v>
      </c>
      <c r="C93" s="80"/>
    </row>
    <row r="94" spans="1:3" ht="18" customHeight="1">
      <c r="A94" s="109" t="s">
        <v>647</v>
      </c>
      <c r="B94" s="110">
        <v>108.14</v>
      </c>
      <c r="C94" s="80"/>
    </row>
    <row r="95" spans="1:3" ht="18" customHeight="1">
      <c r="A95" s="109" t="s">
        <v>190</v>
      </c>
      <c r="B95" s="110">
        <v>52.6</v>
      </c>
      <c r="C95" s="80"/>
    </row>
    <row r="96" spans="1:3" ht="18" customHeight="1">
      <c r="A96" s="109" t="s">
        <v>191</v>
      </c>
      <c r="B96" s="110">
        <v>70</v>
      </c>
      <c r="C96" s="80"/>
    </row>
    <row r="97" spans="1:3" ht="18" customHeight="1">
      <c r="A97" s="109" t="s">
        <v>192</v>
      </c>
      <c r="B97" s="110">
        <v>194</v>
      </c>
      <c r="C97" s="80"/>
    </row>
    <row r="98" spans="1:3" ht="18" customHeight="1">
      <c r="A98" s="109" t="s">
        <v>193</v>
      </c>
      <c r="B98" s="110">
        <f>B99+B102+B107+B109+B111+B113</f>
        <v>232165.22999999998</v>
      </c>
      <c r="C98" s="110">
        <f>C99+C102+C107+C109+C111+C113</f>
        <v>24906</v>
      </c>
    </row>
    <row r="99" spans="1:3" ht="18" customHeight="1">
      <c r="A99" s="109" t="s">
        <v>194</v>
      </c>
      <c r="B99" s="110">
        <f>SUM(B100:B101)</f>
        <v>776.38</v>
      </c>
      <c r="C99" s="80"/>
    </row>
    <row r="100" spans="1:3" ht="18" customHeight="1">
      <c r="A100" s="109" t="s">
        <v>646</v>
      </c>
      <c r="B100" s="110">
        <v>356.28</v>
      </c>
      <c r="C100" s="80"/>
    </row>
    <row r="101" spans="1:3" ht="18" customHeight="1">
      <c r="A101" s="109" t="s">
        <v>647</v>
      </c>
      <c r="B101" s="110">
        <v>420.1</v>
      </c>
      <c r="C101" s="80"/>
    </row>
    <row r="102" spans="1:3" ht="18" customHeight="1">
      <c r="A102" s="109" t="s">
        <v>195</v>
      </c>
      <c r="B102" s="110">
        <f>SUM(B103:B106)</f>
        <v>184246.08</v>
      </c>
      <c r="C102" s="110">
        <f>SUM(C103:C106)</f>
        <v>24306</v>
      </c>
    </row>
    <row r="103" spans="1:3" ht="18" customHeight="1">
      <c r="A103" s="109" t="s">
        <v>196</v>
      </c>
      <c r="B103" s="110">
        <f>26721.48+120</f>
        <v>26841.48</v>
      </c>
      <c r="C103" s="80">
        <v>120</v>
      </c>
    </row>
    <row r="104" spans="1:3" ht="18" customHeight="1">
      <c r="A104" s="109" t="s">
        <v>197</v>
      </c>
      <c r="B104" s="110">
        <v>30511.45</v>
      </c>
      <c r="C104" s="80"/>
    </row>
    <row r="105" spans="1:3" ht="18" customHeight="1">
      <c r="A105" s="109" t="s">
        <v>198</v>
      </c>
      <c r="B105" s="110">
        <v>17905.97</v>
      </c>
      <c r="C105" s="80"/>
    </row>
    <row r="106" spans="1:3" ht="18" customHeight="1">
      <c r="A106" s="109" t="s">
        <v>199</v>
      </c>
      <c r="B106" s="110">
        <f>84801.18+24186</f>
        <v>108987.18</v>
      </c>
      <c r="C106" s="80">
        <v>24186</v>
      </c>
    </row>
    <row r="107" spans="1:3" ht="18" customHeight="1">
      <c r="A107" s="109" t="s">
        <v>200</v>
      </c>
      <c r="B107" s="110">
        <v>112.11</v>
      </c>
      <c r="C107" s="80"/>
    </row>
    <row r="108" spans="1:3" ht="18" customHeight="1">
      <c r="A108" s="109" t="s">
        <v>201</v>
      </c>
      <c r="B108" s="110">
        <v>112.11</v>
      </c>
      <c r="C108" s="80"/>
    </row>
    <row r="109" spans="1:3" ht="18" customHeight="1">
      <c r="A109" s="109" t="s">
        <v>202</v>
      </c>
      <c r="B109" s="110">
        <v>233.96</v>
      </c>
      <c r="C109" s="80"/>
    </row>
    <row r="110" spans="1:3" ht="18" customHeight="1">
      <c r="A110" s="109" t="s">
        <v>203</v>
      </c>
      <c r="B110" s="110">
        <v>233.96</v>
      </c>
      <c r="C110" s="80"/>
    </row>
    <row r="111" spans="1:3" ht="18" customHeight="1">
      <c r="A111" s="109" t="s">
        <v>204</v>
      </c>
      <c r="B111" s="110">
        <v>46000</v>
      </c>
      <c r="C111" s="80"/>
    </row>
    <row r="112" spans="1:3" ht="18" customHeight="1">
      <c r="A112" s="109" t="s">
        <v>205</v>
      </c>
      <c r="B112" s="110">
        <v>46000</v>
      </c>
      <c r="C112" s="80"/>
    </row>
    <row r="113" spans="1:3" ht="18" customHeight="1">
      <c r="A113" s="109" t="s">
        <v>206</v>
      </c>
      <c r="B113" s="110">
        <f>196.7+600</f>
        <v>796.7</v>
      </c>
      <c r="C113" s="80">
        <v>600</v>
      </c>
    </row>
    <row r="114" spans="1:3" ht="18" customHeight="1">
      <c r="A114" s="109" t="s">
        <v>207</v>
      </c>
      <c r="B114" s="110">
        <f>196.7+600</f>
        <v>796.7</v>
      </c>
      <c r="C114" s="80">
        <v>600</v>
      </c>
    </row>
    <row r="115" spans="1:3" ht="18" customHeight="1">
      <c r="A115" s="109" t="s">
        <v>208</v>
      </c>
      <c r="B115" s="110">
        <f>B116+B120+B123+B126</f>
        <v>226986.27</v>
      </c>
      <c r="C115" s="80">
        <v>13934</v>
      </c>
    </row>
    <row r="116" spans="1:3" ht="18" customHeight="1">
      <c r="A116" s="109" t="s">
        <v>209</v>
      </c>
      <c r="B116" s="110">
        <v>842.27</v>
      </c>
      <c r="C116" s="80"/>
    </row>
    <row r="117" spans="1:3" ht="18" customHeight="1">
      <c r="A117" s="109" t="s">
        <v>646</v>
      </c>
      <c r="B117" s="110">
        <v>435.27</v>
      </c>
      <c r="C117" s="80"/>
    </row>
    <row r="118" spans="1:3" ht="18" customHeight="1">
      <c r="A118" s="109" t="s">
        <v>647</v>
      </c>
      <c r="B118" s="110">
        <v>238</v>
      </c>
      <c r="C118" s="80"/>
    </row>
    <row r="119" spans="1:3" ht="18" customHeight="1">
      <c r="A119" s="109" t="s">
        <v>210</v>
      </c>
      <c r="B119" s="110">
        <v>169</v>
      </c>
      <c r="C119" s="80"/>
    </row>
    <row r="120" spans="1:3" ht="18" customHeight="1">
      <c r="A120" s="109" t="s">
        <v>211</v>
      </c>
      <c r="B120" s="110">
        <f>SUM(B121:B122)</f>
        <v>224830</v>
      </c>
      <c r="C120" s="80">
        <f>C121+C122</f>
        <v>12830</v>
      </c>
    </row>
    <row r="121" spans="1:3" ht="18" customHeight="1">
      <c r="A121" s="109" t="s">
        <v>651</v>
      </c>
      <c r="B121" s="110">
        <v>12000</v>
      </c>
      <c r="C121" s="80">
        <v>12000</v>
      </c>
    </row>
    <row r="122" spans="1:3" ht="18" customHeight="1">
      <c r="A122" s="109" t="s">
        <v>212</v>
      </c>
      <c r="B122" s="110">
        <f>212000+830</f>
        <v>212830</v>
      </c>
      <c r="C122" s="80">
        <v>830</v>
      </c>
    </row>
    <row r="123" spans="1:3" ht="18" customHeight="1">
      <c r="A123" s="109" t="s">
        <v>213</v>
      </c>
      <c r="B123" s="110">
        <f>SUM(B124:B125)</f>
        <v>314</v>
      </c>
      <c r="C123" s="80">
        <f>C124+C125</f>
        <v>104</v>
      </c>
    </row>
    <row r="124" spans="1:3" ht="18" customHeight="1">
      <c r="A124" s="109" t="s">
        <v>214</v>
      </c>
      <c r="B124" s="110">
        <v>137</v>
      </c>
      <c r="C124" s="80"/>
    </row>
    <row r="125" spans="1:3" ht="18" customHeight="1">
      <c r="A125" s="109" t="s">
        <v>215</v>
      </c>
      <c r="B125" s="110">
        <f>73+104</f>
        <v>177</v>
      </c>
      <c r="C125" s="80">
        <v>104</v>
      </c>
    </row>
    <row r="126" spans="1:3" ht="18" customHeight="1">
      <c r="A126" s="78" t="s">
        <v>652</v>
      </c>
      <c r="B126" s="110">
        <v>1000</v>
      </c>
      <c r="C126" s="80">
        <v>1000</v>
      </c>
    </row>
    <row r="127" spans="1:3" ht="18" customHeight="1">
      <c r="A127" s="78" t="s">
        <v>653</v>
      </c>
      <c r="B127" s="110">
        <v>1000</v>
      </c>
      <c r="C127" s="80">
        <v>1000</v>
      </c>
    </row>
    <row r="128" spans="1:3" ht="18" customHeight="1">
      <c r="A128" s="109" t="s">
        <v>216</v>
      </c>
      <c r="B128" s="110">
        <f>B129+B138+B145+B148</f>
        <v>32376.59</v>
      </c>
      <c r="C128" s="110">
        <f>C129+C138+C145+C148</f>
        <v>606</v>
      </c>
    </row>
    <row r="129" spans="1:3" ht="18" customHeight="1">
      <c r="A129" s="109" t="s">
        <v>217</v>
      </c>
      <c r="B129" s="110">
        <f>SUM(B130:B137)</f>
        <v>4735.139999999999</v>
      </c>
      <c r="C129" s="110">
        <f>SUM(C130:C137)</f>
        <v>50</v>
      </c>
    </row>
    <row r="130" spans="1:3" ht="18" customHeight="1">
      <c r="A130" s="109" t="s">
        <v>646</v>
      </c>
      <c r="B130" s="110">
        <v>729.64</v>
      </c>
      <c r="C130" s="80"/>
    </row>
    <row r="131" spans="1:3" ht="18" customHeight="1">
      <c r="A131" s="109" t="s">
        <v>647</v>
      </c>
      <c r="B131" s="110">
        <v>1605</v>
      </c>
      <c r="C131" s="80"/>
    </row>
    <row r="132" spans="1:3" ht="18" customHeight="1">
      <c r="A132" s="109" t="s">
        <v>218</v>
      </c>
      <c r="B132" s="110">
        <v>816.5</v>
      </c>
      <c r="C132" s="80"/>
    </row>
    <row r="133" spans="1:3" ht="18" customHeight="1">
      <c r="A133" s="109" t="s">
        <v>219</v>
      </c>
      <c r="B133" s="110">
        <v>360</v>
      </c>
      <c r="C133" s="80"/>
    </row>
    <row r="134" spans="1:3" ht="18" customHeight="1">
      <c r="A134" s="109" t="s">
        <v>654</v>
      </c>
      <c r="B134" s="110">
        <v>50</v>
      </c>
      <c r="C134" s="80">
        <v>50</v>
      </c>
    </row>
    <row r="135" spans="1:3" ht="18" customHeight="1">
      <c r="A135" s="109" t="s">
        <v>220</v>
      </c>
      <c r="B135" s="110">
        <v>115</v>
      </c>
      <c r="C135" s="80"/>
    </row>
    <row r="136" spans="1:3" ht="18" customHeight="1">
      <c r="A136" s="109" t="s">
        <v>221</v>
      </c>
      <c r="B136" s="110">
        <v>114</v>
      </c>
      <c r="C136" s="80"/>
    </row>
    <row r="137" spans="1:3" ht="18" customHeight="1">
      <c r="A137" s="109" t="s">
        <v>222</v>
      </c>
      <c r="B137" s="110">
        <v>945</v>
      </c>
      <c r="C137" s="80"/>
    </row>
    <row r="138" spans="1:3" ht="18" customHeight="1">
      <c r="A138" s="109" t="s">
        <v>223</v>
      </c>
      <c r="B138" s="110">
        <f>SUM(B139:B144)</f>
        <v>987.7099999999999</v>
      </c>
      <c r="C138" s="80"/>
    </row>
    <row r="139" spans="1:3" ht="18" customHeight="1">
      <c r="A139" s="109" t="s">
        <v>646</v>
      </c>
      <c r="B139" s="110">
        <v>104.89</v>
      </c>
      <c r="C139" s="81"/>
    </row>
    <row r="140" spans="1:3" ht="18" customHeight="1">
      <c r="A140" s="109" t="s">
        <v>647</v>
      </c>
      <c r="B140" s="110">
        <v>91.16</v>
      </c>
      <c r="C140" s="80"/>
    </row>
    <row r="141" spans="1:3" ht="18" customHeight="1">
      <c r="A141" s="109" t="s">
        <v>224</v>
      </c>
      <c r="B141" s="110">
        <v>135</v>
      </c>
      <c r="C141" s="80"/>
    </row>
    <row r="142" spans="1:3" ht="18" customHeight="1">
      <c r="A142" s="109" t="s">
        <v>225</v>
      </c>
      <c r="B142" s="110">
        <v>320</v>
      </c>
      <c r="C142" s="80"/>
    </row>
    <row r="143" spans="1:3" ht="18" customHeight="1">
      <c r="A143" s="109" t="s">
        <v>226</v>
      </c>
      <c r="B143" s="110">
        <v>95.76</v>
      </c>
      <c r="C143" s="80"/>
    </row>
    <row r="144" spans="1:3" ht="18" customHeight="1">
      <c r="A144" s="109" t="s">
        <v>227</v>
      </c>
      <c r="B144" s="110">
        <v>240.9</v>
      </c>
      <c r="C144" s="80"/>
    </row>
    <row r="145" spans="1:3" ht="18" customHeight="1">
      <c r="A145" s="109" t="s">
        <v>228</v>
      </c>
      <c r="B145" s="110">
        <v>897.74</v>
      </c>
      <c r="C145" s="80"/>
    </row>
    <row r="146" spans="1:3" ht="18" customHeight="1">
      <c r="A146" s="109" t="s">
        <v>646</v>
      </c>
      <c r="B146" s="110">
        <v>327.74</v>
      </c>
      <c r="C146" s="80"/>
    </row>
    <row r="147" spans="1:3" ht="18" customHeight="1">
      <c r="A147" s="109" t="s">
        <v>229</v>
      </c>
      <c r="B147" s="110">
        <v>570</v>
      </c>
      <c r="C147" s="80"/>
    </row>
    <row r="148" spans="1:3" ht="18" customHeight="1">
      <c r="A148" s="109" t="s">
        <v>230</v>
      </c>
      <c r="B148" s="110">
        <f>B149</f>
        <v>25756</v>
      </c>
      <c r="C148" s="110">
        <f>C149</f>
        <v>556</v>
      </c>
    </row>
    <row r="149" spans="1:3" ht="18" customHeight="1">
      <c r="A149" s="109" t="s">
        <v>231</v>
      </c>
      <c r="B149" s="110">
        <f>25200+556</f>
        <v>25756</v>
      </c>
      <c r="C149" s="80">
        <v>556</v>
      </c>
    </row>
    <row r="150" spans="1:3" ht="18" customHeight="1">
      <c r="A150" s="109" t="s">
        <v>232</v>
      </c>
      <c r="B150" s="110">
        <f>B151+B163+B170+B175+B181+B185+B191+B198+B200+B202+B204</f>
        <v>149529.08000000002</v>
      </c>
      <c r="C150" s="110">
        <f>C151+C163+C170+C175+C181+C185+C191+C198+C200+C202+C204</f>
        <v>7223</v>
      </c>
    </row>
    <row r="151" spans="1:3" ht="18" customHeight="1">
      <c r="A151" s="109" t="s">
        <v>233</v>
      </c>
      <c r="B151" s="110">
        <f>SUM(B152:B162)</f>
        <v>12914.169999999998</v>
      </c>
      <c r="C151" s="80"/>
    </row>
    <row r="152" spans="1:3" ht="18" customHeight="1">
      <c r="A152" s="109" t="s">
        <v>646</v>
      </c>
      <c r="B152" s="110">
        <v>1927.12</v>
      </c>
      <c r="C152" s="80"/>
    </row>
    <row r="153" spans="1:3" ht="18" customHeight="1">
      <c r="A153" s="109" t="s">
        <v>647</v>
      </c>
      <c r="B153" s="110">
        <v>104</v>
      </c>
      <c r="C153" s="80"/>
    </row>
    <row r="154" spans="1:3" ht="18" customHeight="1">
      <c r="A154" s="109" t="s">
        <v>648</v>
      </c>
      <c r="B154" s="110">
        <v>877</v>
      </c>
      <c r="C154" s="80"/>
    </row>
    <row r="155" spans="1:3" ht="18" customHeight="1">
      <c r="A155" s="109" t="s">
        <v>234</v>
      </c>
      <c r="B155" s="110">
        <v>190</v>
      </c>
      <c r="C155" s="80"/>
    </row>
    <row r="156" spans="1:3" ht="18" customHeight="1">
      <c r="A156" s="109" t="s">
        <v>235</v>
      </c>
      <c r="B156" s="110">
        <v>190.1</v>
      </c>
      <c r="C156" s="80"/>
    </row>
    <row r="157" spans="1:3" ht="18" customHeight="1">
      <c r="A157" s="109" t="s">
        <v>236</v>
      </c>
      <c r="B157" s="110">
        <v>2910</v>
      </c>
      <c r="C157" s="80"/>
    </row>
    <row r="158" spans="1:3" ht="18" customHeight="1">
      <c r="A158" s="109" t="s">
        <v>237</v>
      </c>
      <c r="B158" s="110">
        <v>37.95</v>
      </c>
      <c r="C158" s="80"/>
    </row>
    <row r="159" spans="1:3" ht="18" customHeight="1">
      <c r="A159" s="109" t="s">
        <v>649</v>
      </c>
      <c r="B159" s="110">
        <v>65</v>
      </c>
      <c r="C159" s="80"/>
    </row>
    <row r="160" spans="1:3" ht="18" customHeight="1">
      <c r="A160" s="109" t="s">
        <v>238</v>
      </c>
      <c r="B160" s="110">
        <v>900</v>
      </c>
      <c r="C160" s="80"/>
    </row>
    <row r="161" spans="1:3" ht="18" customHeight="1">
      <c r="A161" s="109" t="s">
        <v>239</v>
      </c>
      <c r="B161" s="110">
        <v>60</v>
      </c>
      <c r="C161" s="80"/>
    </row>
    <row r="162" spans="1:3" ht="18" customHeight="1">
      <c r="A162" s="109" t="s">
        <v>240</v>
      </c>
      <c r="B162" s="110">
        <v>5653</v>
      </c>
      <c r="C162" s="80"/>
    </row>
    <row r="163" spans="1:3" ht="18" customHeight="1">
      <c r="A163" s="109" t="s">
        <v>241</v>
      </c>
      <c r="B163" s="110">
        <f>SUM(B164:B169)</f>
        <v>1792.65</v>
      </c>
      <c r="C163" s="110">
        <f>SUM(C164:C169)</f>
        <v>100</v>
      </c>
    </row>
    <row r="164" spans="1:3" ht="18" customHeight="1">
      <c r="A164" s="109" t="s">
        <v>646</v>
      </c>
      <c r="B164" s="110">
        <v>881.25</v>
      </c>
      <c r="C164" s="80"/>
    </row>
    <row r="165" spans="1:3" ht="18" customHeight="1">
      <c r="A165" s="109" t="s">
        <v>647</v>
      </c>
      <c r="B165" s="110">
        <v>20</v>
      </c>
      <c r="C165" s="80"/>
    </row>
    <row r="166" spans="1:3" ht="18" customHeight="1">
      <c r="A166" s="109" t="s">
        <v>242</v>
      </c>
      <c r="B166" s="110">
        <v>205</v>
      </c>
      <c r="C166" s="80"/>
    </row>
    <row r="167" spans="1:3" ht="18" customHeight="1">
      <c r="A167" s="109" t="s">
        <v>243</v>
      </c>
      <c r="B167" s="110">
        <v>20</v>
      </c>
      <c r="C167" s="80"/>
    </row>
    <row r="168" spans="1:3" ht="18" customHeight="1">
      <c r="A168" s="109" t="s">
        <v>244</v>
      </c>
      <c r="B168" s="110">
        <v>345</v>
      </c>
      <c r="C168" s="80"/>
    </row>
    <row r="169" spans="1:3" ht="18" customHeight="1">
      <c r="A169" s="109" t="s">
        <v>245</v>
      </c>
      <c r="B169" s="110">
        <f>221.4+100</f>
        <v>321.4</v>
      </c>
      <c r="C169" s="80">
        <v>100</v>
      </c>
    </row>
    <row r="170" spans="1:3" ht="18" customHeight="1">
      <c r="A170" s="109" t="s">
        <v>246</v>
      </c>
      <c r="B170" s="110">
        <f>SUM(B171:B174)</f>
        <v>12305.659999999998</v>
      </c>
      <c r="C170" s="80"/>
    </row>
    <row r="171" spans="1:3" ht="18" customHeight="1">
      <c r="A171" s="109" t="s">
        <v>247</v>
      </c>
      <c r="B171" s="110">
        <v>172.37</v>
      </c>
      <c r="C171" s="80"/>
    </row>
    <row r="172" spans="1:3" ht="18" customHeight="1">
      <c r="A172" s="109" t="s">
        <v>248</v>
      </c>
      <c r="B172" s="110">
        <v>264.6</v>
      </c>
      <c r="C172" s="80"/>
    </row>
    <row r="173" spans="1:3" ht="18" customHeight="1">
      <c r="A173" s="109" t="s">
        <v>249</v>
      </c>
      <c r="B173" s="110">
        <v>8476.13</v>
      </c>
      <c r="C173" s="80"/>
    </row>
    <row r="174" spans="1:3" ht="18" customHeight="1">
      <c r="A174" s="109" t="s">
        <v>250</v>
      </c>
      <c r="B174" s="110">
        <v>3392.56</v>
      </c>
      <c r="C174" s="80"/>
    </row>
    <row r="175" spans="1:3" ht="18" customHeight="1">
      <c r="A175" s="109" t="s">
        <v>251</v>
      </c>
      <c r="B175" s="110">
        <f>SUM(B176:B180)</f>
        <v>876</v>
      </c>
      <c r="C175" s="110">
        <f>SUM(C176:C180)</f>
        <v>23</v>
      </c>
    </row>
    <row r="176" spans="1:3" ht="18" customHeight="1">
      <c r="A176" s="109" t="s">
        <v>252</v>
      </c>
      <c r="B176" s="110">
        <v>11</v>
      </c>
      <c r="C176" s="80"/>
    </row>
    <row r="177" spans="1:3" ht="18" customHeight="1">
      <c r="A177" s="109" t="s">
        <v>253</v>
      </c>
      <c r="B177" s="110">
        <v>62</v>
      </c>
      <c r="C177" s="80"/>
    </row>
    <row r="178" spans="1:3" ht="18" customHeight="1">
      <c r="A178" s="109" t="s">
        <v>254</v>
      </c>
      <c r="B178" s="110">
        <v>43</v>
      </c>
      <c r="C178" s="80"/>
    </row>
    <row r="179" spans="1:3" ht="18" customHeight="1">
      <c r="A179" s="109" t="s">
        <v>255</v>
      </c>
      <c r="B179" s="110">
        <v>362</v>
      </c>
      <c r="C179" s="80"/>
    </row>
    <row r="180" spans="1:3" ht="18" customHeight="1">
      <c r="A180" s="109" t="s">
        <v>256</v>
      </c>
      <c r="B180" s="110">
        <f>375+23</f>
        <v>398</v>
      </c>
      <c r="C180" s="80">
        <v>23</v>
      </c>
    </row>
    <row r="181" spans="1:3" ht="18" customHeight="1">
      <c r="A181" s="109" t="s">
        <v>257</v>
      </c>
      <c r="B181" s="110">
        <f>SUM(B182:B184)</f>
        <v>458</v>
      </c>
      <c r="C181" s="110">
        <f>SUM(C182:C184)</f>
        <v>50</v>
      </c>
    </row>
    <row r="182" spans="1:3" ht="18" customHeight="1">
      <c r="A182" s="109" t="s">
        <v>258</v>
      </c>
      <c r="B182" s="110">
        <v>230</v>
      </c>
      <c r="C182" s="80"/>
    </row>
    <row r="183" spans="1:3" ht="18" customHeight="1">
      <c r="A183" s="109" t="s">
        <v>259</v>
      </c>
      <c r="B183" s="110">
        <f>110+50</f>
        <v>160</v>
      </c>
      <c r="C183" s="80">
        <v>50</v>
      </c>
    </row>
    <row r="184" spans="1:3" ht="18" customHeight="1">
      <c r="A184" s="109" t="s">
        <v>260</v>
      </c>
      <c r="B184" s="110">
        <v>68</v>
      </c>
      <c r="C184" s="80"/>
    </row>
    <row r="185" spans="1:3" ht="18" customHeight="1">
      <c r="A185" s="109" t="s">
        <v>261</v>
      </c>
      <c r="B185" s="110">
        <f>SUM(B186:B190)</f>
        <v>3932.3</v>
      </c>
      <c r="C185" s="80"/>
    </row>
    <row r="186" spans="1:3" ht="18" customHeight="1">
      <c r="A186" s="109" t="s">
        <v>262</v>
      </c>
      <c r="B186" s="110">
        <v>20</v>
      </c>
      <c r="C186" s="80"/>
    </row>
    <row r="187" spans="1:3" ht="18" customHeight="1">
      <c r="A187" s="109" t="s">
        <v>263</v>
      </c>
      <c r="B187" s="110">
        <v>2787</v>
      </c>
      <c r="C187" s="80"/>
    </row>
    <row r="188" spans="1:3" ht="18" customHeight="1">
      <c r="A188" s="109" t="s">
        <v>264</v>
      </c>
      <c r="B188" s="110">
        <v>114.4</v>
      </c>
      <c r="C188" s="80"/>
    </row>
    <row r="189" spans="1:3" ht="18" customHeight="1">
      <c r="A189" s="109" t="s">
        <v>265</v>
      </c>
      <c r="B189" s="110">
        <v>462</v>
      </c>
      <c r="C189" s="80"/>
    </row>
    <row r="190" spans="1:3" ht="18" customHeight="1">
      <c r="A190" s="109" t="s">
        <v>266</v>
      </c>
      <c r="B190" s="110">
        <v>548.9</v>
      </c>
      <c r="C190" s="80"/>
    </row>
    <row r="191" spans="1:3" ht="18" customHeight="1">
      <c r="A191" s="109" t="s">
        <v>267</v>
      </c>
      <c r="B191" s="110">
        <f>SUM(B192:B197)</f>
        <v>3596</v>
      </c>
      <c r="C191" s="110">
        <f>SUM(C192:C197)</f>
        <v>150</v>
      </c>
    </row>
    <row r="192" spans="1:3" ht="18" customHeight="1">
      <c r="A192" s="109" t="s">
        <v>646</v>
      </c>
      <c r="B192" s="110">
        <v>400</v>
      </c>
      <c r="C192" s="80"/>
    </row>
    <row r="193" spans="1:3" ht="18" customHeight="1">
      <c r="A193" s="109" t="s">
        <v>268</v>
      </c>
      <c r="B193" s="110">
        <f>200+15</f>
        <v>215</v>
      </c>
      <c r="C193" s="80">
        <v>15</v>
      </c>
    </row>
    <row r="194" spans="1:3" ht="18" customHeight="1">
      <c r="A194" s="109" t="s">
        <v>269</v>
      </c>
      <c r="B194" s="110">
        <v>250</v>
      </c>
      <c r="C194" s="80"/>
    </row>
    <row r="195" spans="1:3" ht="18" customHeight="1">
      <c r="A195" s="109" t="s">
        <v>270</v>
      </c>
      <c r="B195" s="110">
        <v>190</v>
      </c>
      <c r="C195" s="80"/>
    </row>
    <row r="196" spans="1:3" ht="18" customHeight="1">
      <c r="A196" s="109" t="s">
        <v>271</v>
      </c>
      <c r="B196" s="110">
        <f>1200+35</f>
        <v>1235</v>
      </c>
      <c r="C196" s="80">
        <v>35</v>
      </c>
    </row>
    <row r="197" spans="1:3" ht="18" customHeight="1">
      <c r="A197" s="109" t="s">
        <v>272</v>
      </c>
      <c r="B197" s="110">
        <f>1206+100</f>
        <v>1306</v>
      </c>
      <c r="C197" s="80">
        <v>100</v>
      </c>
    </row>
    <row r="198" spans="1:3" ht="18" customHeight="1">
      <c r="A198" s="109" t="s">
        <v>273</v>
      </c>
      <c r="B198" s="110">
        <v>797</v>
      </c>
      <c r="C198" s="80"/>
    </row>
    <row r="199" spans="1:3" ht="18" customHeight="1">
      <c r="A199" s="109" t="s">
        <v>274</v>
      </c>
      <c r="B199" s="110">
        <v>797</v>
      </c>
      <c r="C199" s="80"/>
    </row>
    <row r="200" spans="1:3" ht="18" customHeight="1">
      <c r="A200" s="109" t="s">
        <v>275</v>
      </c>
      <c r="B200" s="110">
        <v>20</v>
      </c>
      <c r="C200" s="80"/>
    </row>
    <row r="201" spans="1:3" ht="18" customHeight="1">
      <c r="A201" s="109" t="s">
        <v>276</v>
      </c>
      <c r="B201" s="110">
        <v>20</v>
      </c>
      <c r="C201" s="80"/>
    </row>
    <row r="202" spans="1:3" ht="18" customHeight="1">
      <c r="A202" s="109" t="s">
        <v>277</v>
      </c>
      <c r="B202" s="110">
        <v>977</v>
      </c>
      <c r="C202" s="81"/>
    </row>
    <row r="203" spans="1:3" ht="18" customHeight="1">
      <c r="A203" s="109" t="s">
        <v>278</v>
      </c>
      <c r="B203" s="110">
        <v>977</v>
      </c>
      <c r="C203" s="80"/>
    </row>
    <row r="204" spans="1:3" ht="18" customHeight="1">
      <c r="A204" s="109" t="s">
        <v>279</v>
      </c>
      <c r="B204" s="110">
        <f>104960.3+6900</f>
        <v>111860.3</v>
      </c>
      <c r="C204" s="80">
        <v>6900</v>
      </c>
    </row>
    <row r="205" spans="1:3" ht="18" customHeight="1">
      <c r="A205" s="109" t="s">
        <v>280</v>
      </c>
      <c r="B205" s="110">
        <f>104960.3+6900</f>
        <v>111860.3</v>
      </c>
      <c r="C205" s="80">
        <v>6900</v>
      </c>
    </row>
    <row r="206" spans="1:3" ht="18" customHeight="1">
      <c r="A206" s="109" t="s">
        <v>281</v>
      </c>
      <c r="B206" s="110">
        <f>B207+B211+B213+B219+B221+B224</f>
        <v>33718.21</v>
      </c>
      <c r="C206" s="80">
        <v>275</v>
      </c>
    </row>
    <row r="207" spans="1:3" ht="18" customHeight="1">
      <c r="A207" s="119" t="s">
        <v>698</v>
      </c>
      <c r="B207" s="110">
        <v>2705.22</v>
      </c>
      <c r="C207" s="80"/>
    </row>
    <row r="208" spans="1:3" ht="18" customHeight="1">
      <c r="A208" s="109" t="s">
        <v>646</v>
      </c>
      <c r="B208" s="110">
        <v>1192.22</v>
      </c>
      <c r="C208" s="80"/>
    </row>
    <row r="209" spans="1:3" ht="18" customHeight="1">
      <c r="A209" s="109" t="s">
        <v>647</v>
      </c>
      <c r="B209" s="110">
        <v>1413</v>
      </c>
      <c r="C209" s="80"/>
    </row>
    <row r="210" spans="1:3" ht="18" customHeight="1">
      <c r="A210" s="109" t="s">
        <v>282</v>
      </c>
      <c r="B210" s="110">
        <v>100</v>
      </c>
      <c r="C210" s="80"/>
    </row>
    <row r="211" spans="1:3" ht="18" customHeight="1">
      <c r="A211" s="109" t="s">
        <v>283</v>
      </c>
      <c r="B211" s="110">
        <v>5535.4</v>
      </c>
      <c r="C211" s="80"/>
    </row>
    <row r="212" spans="1:3" ht="18" customHeight="1">
      <c r="A212" s="109" t="s">
        <v>284</v>
      </c>
      <c r="B212" s="110">
        <v>5535.4</v>
      </c>
      <c r="C212" s="80"/>
    </row>
    <row r="213" spans="1:3" ht="18" customHeight="1">
      <c r="A213" s="109" t="s">
        <v>285</v>
      </c>
      <c r="B213" s="110">
        <v>4472.66</v>
      </c>
      <c r="C213" s="80"/>
    </row>
    <row r="214" spans="1:3" ht="18" customHeight="1">
      <c r="A214" s="109" t="s">
        <v>286</v>
      </c>
      <c r="B214" s="110">
        <v>770</v>
      </c>
      <c r="C214" s="80"/>
    </row>
    <row r="215" spans="1:3" ht="18" customHeight="1">
      <c r="A215" s="109" t="s">
        <v>287</v>
      </c>
      <c r="B215" s="110">
        <v>141.86</v>
      </c>
      <c r="C215" s="80"/>
    </row>
    <row r="216" spans="1:3" ht="18" customHeight="1">
      <c r="A216" s="109" t="s">
        <v>288</v>
      </c>
      <c r="B216" s="110">
        <v>55</v>
      </c>
      <c r="C216" s="80"/>
    </row>
    <row r="217" spans="1:3" ht="18" customHeight="1">
      <c r="A217" s="109" t="s">
        <v>289</v>
      </c>
      <c r="B217" s="110">
        <v>1845.8</v>
      </c>
      <c r="C217" s="80"/>
    </row>
    <row r="218" spans="1:3" ht="18" customHeight="1">
      <c r="A218" s="109" t="s">
        <v>290</v>
      </c>
      <c r="B218" s="110">
        <v>1660</v>
      </c>
      <c r="C218" s="80"/>
    </row>
    <row r="219" spans="1:3" ht="18" customHeight="1">
      <c r="A219" s="109" t="s">
        <v>291</v>
      </c>
      <c r="B219" s="110">
        <v>980.5</v>
      </c>
      <c r="C219" s="80"/>
    </row>
    <row r="220" spans="1:3" ht="18" customHeight="1">
      <c r="A220" s="109" t="s">
        <v>292</v>
      </c>
      <c r="B220" s="110">
        <v>980.5</v>
      </c>
      <c r="C220" s="80"/>
    </row>
    <row r="221" spans="1:3" ht="18" customHeight="1">
      <c r="A221" s="109" t="s">
        <v>293</v>
      </c>
      <c r="B221" s="110">
        <v>4449.43</v>
      </c>
      <c r="C221" s="80"/>
    </row>
    <row r="222" spans="1:3" ht="18" customHeight="1">
      <c r="A222" s="109" t="s">
        <v>294</v>
      </c>
      <c r="B222" s="110">
        <v>1382.82</v>
      </c>
      <c r="C222" s="80"/>
    </row>
    <row r="223" spans="1:3" ht="18" customHeight="1">
      <c r="A223" s="109" t="s">
        <v>295</v>
      </c>
      <c r="B223" s="110">
        <v>3066.61</v>
      </c>
      <c r="C223" s="80"/>
    </row>
    <row r="224" spans="1:3" ht="18" customHeight="1">
      <c r="A224" s="109" t="s">
        <v>296</v>
      </c>
      <c r="B224" s="110">
        <f>B225</f>
        <v>15575</v>
      </c>
      <c r="C224" s="80">
        <v>275</v>
      </c>
    </row>
    <row r="225" spans="1:3" ht="18" customHeight="1">
      <c r="A225" s="109" t="s">
        <v>297</v>
      </c>
      <c r="B225" s="110">
        <f>15300+275</f>
        <v>15575</v>
      </c>
      <c r="C225" s="80">
        <v>275</v>
      </c>
    </row>
    <row r="226" spans="1:3" ht="18" customHeight="1">
      <c r="A226" s="109" t="s">
        <v>298</v>
      </c>
      <c r="B226" s="110">
        <f>B227+B229+B231+B233+B235+B237</f>
        <v>7246</v>
      </c>
      <c r="C226" s="110">
        <f>C227+C229+C231+C233+C235+C237</f>
        <v>1360</v>
      </c>
    </row>
    <row r="227" spans="1:3" ht="18" customHeight="1">
      <c r="A227" s="109" t="s">
        <v>299</v>
      </c>
      <c r="B227" s="110">
        <v>235</v>
      </c>
      <c r="C227" s="80"/>
    </row>
    <row r="228" spans="1:3" ht="18" customHeight="1">
      <c r="A228" s="109" t="s">
        <v>300</v>
      </c>
      <c r="B228" s="110">
        <v>235</v>
      </c>
      <c r="C228" s="80"/>
    </row>
    <row r="229" spans="1:3" ht="18" customHeight="1">
      <c r="A229" s="109" t="s">
        <v>301</v>
      </c>
      <c r="B229" s="110">
        <v>120</v>
      </c>
      <c r="C229" s="80"/>
    </row>
    <row r="230" spans="1:3" ht="18" customHeight="1">
      <c r="A230" s="109" t="s">
        <v>302</v>
      </c>
      <c r="B230" s="110">
        <v>120</v>
      </c>
      <c r="C230" s="80"/>
    </row>
    <row r="231" spans="1:3" ht="18" customHeight="1">
      <c r="A231" s="109" t="s">
        <v>655</v>
      </c>
      <c r="B231" s="80">
        <v>560</v>
      </c>
      <c r="C231" s="80">
        <v>560</v>
      </c>
    </row>
    <row r="232" spans="1:3" ht="18" customHeight="1">
      <c r="A232" s="109" t="s">
        <v>656</v>
      </c>
      <c r="B232" s="80">
        <v>560</v>
      </c>
      <c r="C232" s="80">
        <v>560</v>
      </c>
    </row>
    <row r="233" spans="1:3" ht="18" customHeight="1">
      <c r="A233" s="109" t="s">
        <v>657</v>
      </c>
      <c r="B233" s="110">
        <v>800</v>
      </c>
      <c r="C233" s="80">
        <v>800</v>
      </c>
    </row>
    <row r="234" spans="1:3" ht="18" customHeight="1">
      <c r="A234" s="109" t="s">
        <v>658</v>
      </c>
      <c r="B234" s="110">
        <v>800</v>
      </c>
      <c r="C234" s="80">
        <v>800</v>
      </c>
    </row>
    <row r="235" spans="1:3" ht="18" customHeight="1">
      <c r="A235" s="109" t="s">
        <v>303</v>
      </c>
      <c r="B235" s="110">
        <v>31</v>
      </c>
      <c r="C235" s="80"/>
    </row>
    <row r="236" spans="1:3" ht="18" customHeight="1">
      <c r="A236" s="109" t="s">
        <v>304</v>
      </c>
      <c r="B236" s="110">
        <v>31</v>
      </c>
      <c r="C236" s="80"/>
    </row>
    <row r="237" spans="1:3" ht="18" customHeight="1">
      <c r="A237" s="109" t="s">
        <v>305</v>
      </c>
      <c r="B237" s="110">
        <v>5500</v>
      </c>
      <c r="C237" s="80"/>
    </row>
    <row r="238" spans="1:3" ht="18" customHeight="1">
      <c r="A238" s="109" t="s">
        <v>306</v>
      </c>
      <c r="B238" s="110">
        <v>5500</v>
      </c>
      <c r="C238" s="80"/>
    </row>
    <row r="239" spans="1:3" ht="18" customHeight="1">
      <c r="A239" s="109" t="s">
        <v>307</v>
      </c>
      <c r="B239" s="110">
        <f>B240+B248+B250+B252+B254</f>
        <v>352705.29000000004</v>
      </c>
      <c r="C239" s="110">
        <f>C240+C248+C250+C252+C254</f>
        <v>980</v>
      </c>
    </row>
    <row r="240" spans="1:3" ht="18" customHeight="1">
      <c r="A240" s="109" t="s">
        <v>308</v>
      </c>
      <c r="B240" s="110">
        <v>63877.99</v>
      </c>
      <c r="C240" s="80"/>
    </row>
    <row r="241" spans="1:3" ht="18" customHeight="1">
      <c r="A241" s="109" t="s">
        <v>646</v>
      </c>
      <c r="B241" s="110">
        <v>13122.59</v>
      </c>
      <c r="C241" s="80"/>
    </row>
    <row r="242" spans="1:3" ht="18" customHeight="1">
      <c r="A242" s="109" t="s">
        <v>647</v>
      </c>
      <c r="B242" s="110">
        <v>41283.4</v>
      </c>
      <c r="C242" s="80"/>
    </row>
    <row r="243" spans="1:3" ht="18" customHeight="1">
      <c r="A243" s="109" t="s">
        <v>648</v>
      </c>
      <c r="B243" s="110">
        <v>200</v>
      </c>
      <c r="C243" s="80"/>
    </row>
    <row r="244" spans="1:3" ht="18" customHeight="1">
      <c r="A244" s="109" t="s">
        <v>309</v>
      </c>
      <c r="B244" s="110">
        <v>1082</v>
      </c>
      <c r="C244" s="80"/>
    </row>
    <row r="245" spans="1:3" ht="18" customHeight="1">
      <c r="A245" s="109" t="s">
        <v>310</v>
      </c>
      <c r="B245" s="110">
        <v>561</v>
      </c>
      <c r="C245" s="80"/>
    </row>
    <row r="246" spans="1:3" ht="18" customHeight="1">
      <c r="A246" s="109" t="s">
        <v>311</v>
      </c>
      <c r="B246" s="110">
        <v>83</v>
      </c>
      <c r="C246" s="80"/>
    </row>
    <row r="247" spans="1:3" ht="18" customHeight="1">
      <c r="A247" s="109" t="s">
        <v>312</v>
      </c>
      <c r="B247" s="110">
        <v>7546</v>
      </c>
      <c r="C247" s="80"/>
    </row>
    <row r="248" spans="1:3" ht="18" customHeight="1">
      <c r="A248" s="109" t="s">
        <v>313</v>
      </c>
      <c r="B248" s="110">
        <v>734.5</v>
      </c>
      <c r="C248" s="80"/>
    </row>
    <row r="249" spans="1:3" ht="18" customHeight="1">
      <c r="A249" s="109" t="s">
        <v>314</v>
      </c>
      <c r="B249" s="110">
        <v>734.5</v>
      </c>
      <c r="C249" s="80"/>
    </row>
    <row r="250" spans="1:3" ht="18" customHeight="1">
      <c r="A250" s="109" t="s">
        <v>315</v>
      </c>
      <c r="B250" s="110">
        <v>34126.8</v>
      </c>
      <c r="C250" s="80"/>
    </row>
    <row r="251" spans="1:3" ht="18" customHeight="1">
      <c r="A251" s="109" t="s">
        <v>316</v>
      </c>
      <c r="B251" s="110">
        <v>34126.8</v>
      </c>
      <c r="C251" s="80"/>
    </row>
    <row r="252" spans="1:3" ht="18" customHeight="1">
      <c r="A252" s="109" t="s">
        <v>317</v>
      </c>
      <c r="B252" s="110">
        <v>31392</v>
      </c>
      <c r="C252" s="80"/>
    </row>
    <row r="253" spans="1:3" ht="18" customHeight="1">
      <c r="A253" s="109" t="s">
        <v>318</v>
      </c>
      <c r="B253" s="110">
        <v>31392</v>
      </c>
      <c r="C253" s="80"/>
    </row>
    <row r="254" spans="1:3" ht="18" customHeight="1">
      <c r="A254" s="109" t="s">
        <v>319</v>
      </c>
      <c r="B254" s="110">
        <f>SUM(B255)</f>
        <v>222574</v>
      </c>
      <c r="C254" s="80">
        <v>980</v>
      </c>
    </row>
    <row r="255" spans="1:3" ht="18" customHeight="1">
      <c r="A255" s="109" t="s">
        <v>320</v>
      </c>
      <c r="B255" s="110">
        <f>206594+15000+980</f>
        <v>222574</v>
      </c>
      <c r="C255" s="80">
        <v>980</v>
      </c>
    </row>
    <row r="256" spans="1:3" ht="18" customHeight="1">
      <c r="A256" s="109" t="s">
        <v>321</v>
      </c>
      <c r="B256" s="110">
        <f>B257+B266+B268+B273</f>
        <v>10239.36</v>
      </c>
      <c r="C256" s="110">
        <f>C257+C266+C268+C273</f>
        <v>683</v>
      </c>
    </row>
    <row r="257" spans="1:3" ht="18" customHeight="1">
      <c r="A257" s="109" t="s">
        <v>322</v>
      </c>
      <c r="B257" s="110">
        <f>SUM(B258:B265)</f>
        <v>2431.12</v>
      </c>
      <c r="C257" s="110">
        <f>SUM(C258:C265)</f>
        <v>200</v>
      </c>
    </row>
    <row r="258" spans="1:3" ht="18" customHeight="1">
      <c r="A258" s="109" t="s">
        <v>646</v>
      </c>
      <c r="B258" s="110">
        <v>903.12</v>
      </c>
      <c r="C258" s="80"/>
    </row>
    <row r="259" spans="1:3" ht="18" customHeight="1">
      <c r="A259" s="109" t="s">
        <v>647</v>
      </c>
      <c r="B259" s="110">
        <v>356</v>
      </c>
      <c r="C259" s="80"/>
    </row>
    <row r="260" spans="1:3" ht="18" customHeight="1">
      <c r="A260" s="109" t="s">
        <v>323</v>
      </c>
      <c r="B260" s="110">
        <v>20</v>
      </c>
      <c r="C260" s="80"/>
    </row>
    <row r="261" spans="1:3" ht="18" customHeight="1">
      <c r="A261" s="109" t="s">
        <v>324</v>
      </c>
      <c r="B261" s="110">
        <v>14</v>
      </c>
      <c r="C261" s="80"/>
    </row>
    <row r="262" spans="1:3" ht="18" customHeight="1">
      <c r="A262" s="109" t="s">
        <v>325</v>
      </c>
      <c r="B262" s="110">
        <v>185</v>
      </c>
      <c r="C262" s="80"/>
    </row>
    <row r="263" spans="1:3" ht="18" customHeight="1">
      <c r="A263" s="109" t="s">
        <v>326</v>
      </c>
      <c r="B263" s="110">
        <v>153</v>
      </c>
      <c r="C263" s="80"/>
    </row>
    <row r="264" spans="1:3" ht="18" customHeight="1">
      <c r="A264" s="109" t="s">
        <v>327</v>
      </c>
      <c r="B264" s="110">
        <v>600</v>
      </c>
      <c r="C264" s="80"/>
    </row>
    <row r="265" spans="1:3" ht="18" customHeight="1">
      <c r="A265" s="109" t="s">
        <v>659</v>
      </c>
      <c r="B265" s="110">
        <v>200</v>
      </c>
      <c r="C265" s="80">
        <v>200</v>
      </c>
    </row>
    <row r="266" spans="1:3" ht="18" customHeight="1">
      <c r="A266" s="109" t="s">
        <v>328</v>
      </c>
      <c r="B266" s="110">
        <v>4.5</v>
      </c>
      <c r="C266" s="80"/>
    </row>
    <row r="267" spans="1:3" ht="18" customHeight="1">
      <c r="A267" s="109" t="s">
        <v>329</v>
      </c>
      <c r="B267" s="110">
        <v>4.5</v>
      </c>
      <c r="C267" s="80"/>
    </row>
    <row r="268" spans="1:3" ht="18" customHeight="1">
      <c r="A268" s="109" t="s">
        <v>330</v>
      </c>
      <c r="B268" s="110">
        <f>SUM(B269:B272)</f>
        <v>2300.74</v>
      </c>
      <c r="C268" s="110">
        <f>SUM(C269:C272)</f>
        <v>100</v>
      </c>
    </row>
    <row r="269" spans="1:3" ht="18" customHeight="1">
      <c r="A269" s="109" t="s">
        <v>647</v>
      </c>
      <c r="B269" s="110">
        <v>79.64</v>
      </c>
      <c r="C269" s="80"/>
    </row>
    <row r="270" spans="1:3" ht="18" customHeight="1">
      <c r="A270" s="109" t="s">
        <v>331</v>
      </c>
      <c r="B270" s="110">
        <v>2106</v>
      </c>
      <c r="C270" s="80"/>
    </row>
    <row r="271" spans="1:3" ht="18" customHeight="1">
      <c r="A271" s="109" t="s">
        <v>332</v>
      </c>
      <c r="B271" s="110">
        <v>15.1</v>
      </c>
      <c r="C271" s="80"/>
    </row>
    <row r="272" spans="1:3" ht="18" customHeight="1">
      <c r="A272" s="78" t="s">
        <v>660</v>
      </c>
      <c r="B272" s="110">
        <v>100</v>
      </c>
      <c r="C272" s="80">
        <v>100</v>
      </c>
    </row>
    <row r="273" spans="1:3" ht="18" customHeight="1">
      <c r="A273" s="109" t="s">
        <v>333</v>
      </c>
      <c r="B273" s="110">
        <f>B274</f>
        <v>5503</v>
      </c>
      <c r="C273" s="80">
        <f>SUM(C274)</f>
        <v>383</v>
      </c>
    </row>
    <row r="274" spans="1:3" ht="18" customHeight="1">
      <c r="A274" s="109" t="s">
        <v>334</v>
      </c>
      <c r="B274" s="110">
        <f>5120+383</f>
        <v>5503</v>
      </c>
      <c r="C274" s="80">
        <v>383</v>
      </c>
    </row>
    <row r="275" spans="1:3" ht="18" customHeight="1">
      <c r="A275" s="109" t="s">
        <v>335</v>
      </c>
      <c r="B275" s="110">
        <f>B276+B278+B282</f>
        <v>60119</v>
      </c>
      <c r="C275" s="110">
        <f>C276+C278+C282</f>
        <v>18066</v>
      </c>
    </row>
    <row r="276" spans="1:3" ht="18" customHeight="1">
      <c r="A276" s="109" t="s">
        <v>661</v>
      </c>
      <c r="B276" s="110">
        <v>14000</v>
      </c>
      <c r="C276" s="80">
        <v>14000</v>
      </c>
    </row>
    <row r="277" spans="1:3" ht="18" customHeight="1">
      <c r="A277" s="109" t="s">
        <v>662</v>
      </c>
      <c r="B277" s="110">
        <v>14000</v>
      </c>
      <c r="C277" s="80">
        <v>14000</v>
      </c>
    </row>
    <row r="278" spans="1:3" ht="18" customHeight="1">
      <c r="A278" s="109" t="s">
        <v>63</v>
      </c>
      <c r="B278" s="110">
        <f>SUM(B279:B281)</f>
        <v>25653</v>
      </c>
      <c r="C278" s="110">
        <f>SUM(C279:C281)</f>
        <v>3000</v>
      </c>
    </row>
    <row r="279" spans="1:3" ht="18" customHeight="1">
      <c r="A279" s="109" t="s">
        <v>62</v>
      </c>
      <c r="B279" s="110">
        <v>20000</v>
      </c>
      <c r="C279" s="80"/>
    </row>
    <row r="280" spans="1:3" ht="18" customHeight="1">
      <c r="A280" s="109" t="s">
        <v>663</v>
      </c>
      <c r="B280" s="110">
        <v>2000</v>
      </c>
      <c r="C280" s="80">
        <v>2000</v>
      </c>
    </row>
    <row r="281" spans="1:3" ht="18" customHeight="1">
      <c r="A281" s="109" t="s">
        <v>336</v>
      </c>
      <c r="B281" s="110">
        <f>2653+1000</f>
        <v>3653</v>
      </c>
      <c r="C281" s="80">
        <v>1000</v>
      </c>
    </row>
    <row r="282" spans="1:3" ht="18" customHeight="1">
      <c r="A282" s="109" t="s">
        <v>337</v>
      </c>
      <c r="B282" s="110">
        <f>B283</f>
        <v>20466</v>
      </c>
      <c r="C282" s="110">
        <f>C283</f>
        <v>1066</v>
      </c>
    </row>
    <row r="283" spans="1:3" ht="18" customHeight="1">
      <c r="A283" s="109" t="s">
        <v>338</v>
      </c>
      <c r="B283" s="110">
        <f>19400+1066</f>
        <v>20466</v>
      </c>
      <c r="C283" s="80">
        <v>1066</v>
      </c>
    </row>
    <row r="284" spans="1:3" ht="18" customHeight="1">
      <c r="A284" s="109" t="s">
        <v>136</v>
      </c>
      <c r="B284" s="110">
        <f>B285+B287</f>
        <v>11044</v>
      </c>
      <c r="C284" s="80">
        <v>7044</v>
      </c>
    </row>
    <row r="285" spans="1:3" ht="18" customHeight="1">
      <c r="A285" s="109" t="s">
        <v>664</v>
      </c>
      <c r="B285" s="110">
        <v>6000</v>
      </c>
      <c r="C285" s="80">
        <v>6000</v>
      </c>
    </row>
    <row r="286" spans="1:3" ht="18" customHeight="1">
      <c r="A286" s="109" t="s">
        <v>665</v>
      </c>
      <c r="B286" s="110">
        <v>6000</v>
      </c>
      <c r="C286" s="80">
        <v>6000</v>
      </c>
    </row>
    <row r="287" spans="1:3" ht="18" customHeight="1">
      <c r="A287" s="109" t="s">
        <v>339</v>
      </c>
      <c r="B287" s="110">
        <f>4000+1044</f>
        <v>5044</v>
      </c>
      <c r="C287" s="80">
        <v>1044</v>
      </c>
    </row>
    <row r="288" spans="1:3" ht="18" customHeight="1">
      <c r="A288" s="109" t="s">
        <v>340</v>
      </c>
      <c r="B288" s="110">
        <f>4000+1044</f>
        <v>5044</v>
      </c>
      <c r="C288" s="80">
        <v>1044</v>
      </c>
    </row>
    <row r="289" spans="1:3" ht="18" customHeight="1">
      <c r="A289" s="109" t="s">
        <v>341</v>
      </c>
      <c r="B289" s="110">
        <v>15441</v>
      </c>
      <c r="C289" s="80"/>
    </row>
    <row r="290" spans="1:3" ht="18" customHeight="1">
      <c r="A290" s="109" t="s">
        <v>342</v>
      </c>
      <c r="B290" s="110">
        <v>15441</v>
      </c>
      <c r="C290" s="80"/>
    </row>
    <row r="291" spans="1:3" ht="18" customHeight="1">
      <c r="A291" s="109" t="s">
        <v>343</v>
      </c>
      <c r="B291" s="110">
        <v>2086.5</v>
      </c>
      <c r="C291" s="80"/>
    </row>
    <row r="292" spans="1:3" ht="18" customHeight="1">
      <c r="A292" s="109" t="s">
        <v>344</v>
      </c>
      <c r="B292" s="110">
        <v>1822.5</v>
      </c>
      <c r="C292" s="80"/>
    </row>
    <row r="293" spans="1:3" ht="18" customHeight="1">
      <c r="A293" s="109" t="s">
        <v>646</v>
      </c>
      <c r="B293" s="110">
        <v>1307.9</v>
      </c>
      <c r="C293" s="80"/>
    </row>
    <row r="294" spans="1:3" ht="18" customHeight="1">
      <c r="A294" s="109" t="s">
        <v>647</v>
      </c>
      <c r="B294" s="110">
        <v>514.6</v>
      </c>
      <c r="C294" s="80"/>
    </row>
    <row r="295" spans="1:3" ht="18" customHeight="1">
      <c r="A295" s="109" t="s">
        <v>345</v>
      </c>
      <c r="B295" s="110">
        <v>264</v>
      </c>
      <c r="C295" s="80"/>
    </row>
    <row r="296" spans="1:3" ht="18" customHeight="1">
      <c r="A296" s="109" t="s">
        <v>647</v>
      </c>
      <c r="B296" s="110">
        <v>264</v>
      </c>
      <c r="C296" s="81"/>
    </row>
    <row r="297" spans="1:3" ht="18" customHeight="1">
      <c r="A297" s="109" t="s">
        <v>346</v>
      </c>
      <c r="B297" s="110">
        <f>B298+B300</f>
        <v>17401.89</v>
      </c>
      <c r="C297" s="110">
        <f>C298+C300</f>
        <v>2450</v>
      </c>
    </row>
    <row r="298" spans="1:3" ht="18" customHeight="1">
      <c r="A298" s="109" t="s">
        <v>666</v>
      </c>
      <c r="B298" s="110">
        <v>2450</v>
      </c>
      <c r="C298" s="81">
        <v>2450</v>
      </c>
    </row>
    <row r="299" spans="1:3" ht="18" customHeight="1">
      <c r="A299" s="109" t="s">
        <v>667</v>
      </c>
      <c r="B299" s="110">
        <v>2450</v>
      </c>
      <c r="C299" s="81">
        <v>2450</v>
      </c>
    </row>
    <row r="300" spans="1:3" ht="18" customHeight="1">
      <c r="A300" s="109" t="s">
        <v>347</v>
      </c>
      <c r="B300" s="110">
        <v>14951.89</v>
      </c>
      <c r="C300" s="81"/>
    </row>
    <row r="301" spans="1:3" ht="18" customHeight="1">
      <c r="A301" s="109" t="s">
        <v>348</v>
      </c>
      <c r="B301" s="110">
        <v>9479.86</v>
      </c>
      <c r="C301" s="81"/>
    </row>
    <row r="302" spans="1:3" ht="18" customHeight="1">
      <c r="A302" s="109" t="s">
        <v>349</v>
      </c>
      <c r="B302" s="110">
        <v>5472.03</v>
      </c>
      <c r="C302" s="81"/>
    </row>
    <row r="303" spans="1:3" ht="18" customHeight="1">
      <c r="A303" s="109" t="s">
        <v>137</v>
      </c>
      <c r="B303" s="110">
        <v>2164.24</v>
      </c>
      <c r="C303" s="81"/>
    </row>
    <row r="304" spans="1:3" ht="18" customHeight="1">
      <c r="A304" s="109" t="s">
        <v>350</v>
      </c>
      <c r="B304" s="110">
        <v>2164.24</v>
      </c>
      <c r="C304" s="81"/>
    </row>
    <row r="305" spans="1:3" ht="18" customHeight="1">
      <c r="A305" s="109" t="s">
        <v>646</v>
      </c>
      <c r="B305" s="110">
        <v>789.24</v>
      </c>
      <c r="C305" s="81"/>
    </row>
    <row r="306" spans="1:3" ht="18" customHeight="1">
      <c r="A306" s="109" t="s">
        <v>647</v>
      </c>
      <c r="B306" s="110">
        <v>1215</v>
      </c>
      <c r="C306" s="81"/>
    </row>
    <row r="307" spans="1:3" ht="18" customHeight="1">
      <c r="A307" s="109" t="s">
        <v>351</v>
      </c>
      <c r="B307" s="110">
        <v>160</v>
      </c>
      <c r="C307" s="81"/>
    </row>
    <row r="308" spans="1:3" ht="18" customHeight="1">
      <c r="A308" s="109" t="s">
        <v>352</v>
      </c>
      <c r="B308" s="110">
        <v>12000</v>
      </c>
      <c r="C308" s="81"/>
    </row>
    <row r="309" spans="1:3" ht="18" customHeight="1">
      <c r="A309" s="109" t="s">
        <v>353</v>
      </c>
      <c r="B309" s="110">
        <f>B310+B311</f>
        <v>10818.29</v>
      </c>
      <c r="C309" s="110">
        <f>C310+C311</f>
        <v>24</v>
      </c>
    </row>
    <row r="310" spans="1:3" ht="18" customHeight="1">
      <c r="A310" s="109" t="s">
        <v>354</v>
      </c>
      <c r="B310" s="110">
        <f>5697.32+24</f>
        <v>5721.32</v>
      </c>
      <c r="C310" s="81">
        <v>24</v>
      </c>
    </row>
    <row r="311" spans="1:3" ht="18" customHeight="1">
      <c r="A311" s="109" t="s">
        <v>355</v>
      </c>
      <c r="B311" s="110">
        <v>5096.97</v>
      </c>
      <c r="C311" s="81"/>
    </row>
    <row r="312" spans="1:3" ht="18" customHeight="1">
      <c r="A312" s="109" t="s">
        <v>356</v>
      </c>
      <c r="B312" s="110">
        <v>5096.97</v>
      </c>
      <c r="C312" s="81"/>
    </row>
    <row r="313" spans="1:3" ht="18" customHeight="1">
      <c r="A313" s="109" t="s">
        <v>357</v>
      </c>
      <c r="B313" s="110">
        <v>17850</v>
      </c>
      <c r="C313" s="81"/>
    </row>
    <row r="314" spans="1:3" ht="18" customHeight="1">
      <c r="A314" s="109" t="s">
        <v>358</v>
      </c>
      <c r="B314" s="110">
        <v>17850</v>
      </c>
      <c r="C314" s="81"/>
    </row>
    <row r="315" spans="1:3" ht="18" customHeight="1">
      <c r="A315" s="109" t="s">
        <v>359</v>
      </c>
      <c r="B315" s="110">
        <v>17850</v>
      </c>
      <c r="C315" s="81"/>
    </row>
    <row r="316" spans="1:3" ht="18" customHeight="1">
      <c r="A316" s="109" t="s">
        <v>360</v>
      </c>
      <c r="B316" s="110">
        <v>200</v>
      </c>
      <c r="C316" s="81"/>
    </row>
    <row r="317" spans="1:3" ht="18" customHeight="1">
      <c r="A317" s="109" t="s">
        <v>361</v>
      </c>
      <c r="B317" s="110">
        <v>200</v>
      </c>
      <c r="C317" s="81"/>
    </row>
    <row r="318" spans="1:3" ht="24" customHeight="1">
      <c r="A318" s="109" t="s">
        <v>49</v>
      </c>
      <c r="B318" s="80">
        <f>B5+B75+B98+B115+B128+B150+B206+B226+B239+B256+B275+B284+B289+B291+B297+B303+B308+B309+B313+B316</f>
        <v>1275000</v>
      </c>
      <c r="C318" s="80">
        <f>C5+C75+C98+C115+C128+C150+C206+C226+C239+C256+C275+C284+C289+C291+C297+C303+C308+C309+C313+C316</f>
        <v>80000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6"/>
  <sheetViews>
    <sheetView zoomScalePageLayoutView="0" workbookViewId="0" topLeftCell="A1">
      <selection activeCell="C23" sqref="C23"/>
    </sheetView>
  </sheetViews>
  <sheetFormatPr defaultColWidth="9.00390625" defaultRowHeight="14.25"/>
  <cols>
    <col min="1" max="1" width="32.125" style="36" customWidth="1"/>
    <col min="2" max="2" width="15.00390625" style="36" customWidth="1"/>
    <col min="3" max="3" width="15.875" style="36" customWidth="1"/>
    <col min="4" max="4" width="13.625" style="36" customWidth="1"/>
    <col min="5" max="16384" width="9.00390625" style="36" customWidth="1"/>
  </cols>
  <sheetData>
    <row r="1" spans="1:3" s="1" customFormat="1" ht="18" customHeight="1">
      <c r="A1" s="37" t="s">
        <v>54</v>
      </c>
      <c r="B1" s="45"/>
      <c r="C1" s="45"/>
    </row>
    <row r="2" spans="1:4" s="1" customFormat="1" ht="28.5" customHeight="1">
      <c r="A2" s="146" t="s">
        <v>138</v>
      </c>
      <c r="B2" s="146"/>
      <c r="C2" s="146"/>
      <c r="D2" s="146"/>
    </row>
    <row r="3" spans="1:4" ht="29.25" customHeight="1">
      <c r="A3"/>
      <c r="B3" s="44"/>
      <c r="D3" s="44" t="s">
        <v>0</v>
      </c>
    </row>
    <row r="4" spans="1:4" ht="30" customHeight="1">
      <c r="A4" s="160" t="s">
        <v>76</v>
      </c>
      <c r="B4" s="162" t="s">
        <v>77</v>
      </c>
      <c r="C4" s="162"/>
      <c r="D4" s="162"/>
    </row>
    <row r="5" spans="1:4" ht="27" customHeight="1">
      <c r="A5" s="161"/>
      <c r="B5" s="111" t="s">
        <v>78</v>
      </c>
      <c r="C5" s="111" t="s">
        <v>79</v>
      </c>
      <c r="D5" s="111" t="s">
        <v>80</v>
      </c>
    </row>
    <row r="6" spans="1:4" ht="27" customHeight="1">
      <c r="A6" s="112" t="s">
        <v>64</v>
      </c>
      <c r="B6" s="115">
        <v>121002.31</v>
      </c>
      <c r="C6" s="115">
        <v>121002.31</v>
      </c>
      <c r="D6" s="115"/>
    </row>
    <row r="7" spans="1:4" ht="27" customHeight="1">
      <c r="A7" s="112" t="s">
        <v>65</v>
      </c>
      <c r="B7" s="115">
        <v>15627.37</v>
      </c>
      <c r="C7" s="115">
        <v>15627.37</v>
      </c>
      <c r="D7" s="115"/>
    </row>
    <row r="8" spans="1:4" ht="27" customHeight="1">
      <c r="A8" s="112" t="s">
        <v>66</v>
      </c>
      <c r="B8" s="115">
        <v>14154.61</v>
      </c>
      <c r="C8" s="115">
        <v>14154.61</v>
      </c>
      <c r="D8" s="115"/>
    </row>
    <row r="9" spans="1:4" ht="27" customHeight="1">
      <c r="A9" s="112" t="s">
        <v>67</v>
      </c>
      <c r="B9" s="115">
        <v>35588.89</v>
      </c>
      <c r="C9" s="115">
        <v>35588.89</v>
      </c>
      <c r="D9" s="115"/>
    </row>
    <row r="10" spans="1:4" ht="27" customHeight="1">
      <c r="A10" s="112" t="s">
        <v>362</v>
      </c>
      <c r="B10" s="115">
        <v>0.03</v>
      </c>
      <c r="C10" s="115">
        <v>0.03</v>
      </c>
      <c r="D10" s="115"/>
    </row>
    <row r="11" spans="1:4" ht="27" customHeight="1">
      <c r="A11" s="112" t="s">
        <v>68</v>
      </c>
      <c r="B11" s="115">
        <v>21462.12</v>
      </c>
      <c r="C11" s="115">
        <v>21462.12</v>
      </c>
      <c r="D11" s="115"/>
    </row>
    <row r="12" spans="1:4" ht="27" customHeight="1">
      <c r="A12" s="112" t="s">
        <v>69</v>
      </c>
      <c r="B12" s="115">
        <v>8476.13</v>
      </c>
      <c r="C12" s="115">
        <v>8476.13</v>
      </c>
      <c r="D12" s="115"/>
    </row>
    <row r="13" spans="1:4" ht="27" customHeight="1">
      <c r="A13" s="112" t="s">
        <v>70</v>
      </c>
      <c r="B13" s="115">
        <v>3392.56</v>
      </c>
      <c r="C13" s="115">
        <v>3392.56</v>
      </c>
      <c r="D13" s="115"/>
    </row>
    <row r="14" spans="1:4" ht="27" customHeight="1">
      <c r="A14" s="112" t="s">
        <v>71</v>
      </c>
      <c r="B14" s="115">
        <v>4458.21</v>
      </c>
      <c r="C14" s="115">
        <v>4458.21</v>
      </c>
      <c r="D14" s="115"/>
    </row>
    <row r="15" spans="1:4" ht="27" customHeight="1">
      <c r="A15" s="112" t="s">
        <v>72</v>
      </c>
      <c r="B15" s="115">
        <v>264.33</v>
      </c>
      <c r="C15" s="115">
        <v>264.33</v>
      </c>
      <c r="D15" s="115"/>
    </row>
    <row r="16" spans="1:4" ht="27" customHeight="1">
      <c r="A16" s="112" t="s">
        <v>73</v>
      </c>
      <c r="B16" s="115">
        <v>9479.86</v>
      </c>
      <c r="C16" s="115">
        <v>9479.86</v>
      </c>
      <c r="D16" s="115"/>
    </row>
    <row r="17" spans="1:4" ht="27" customHeight="1">
      <c r="A17" s="112" t="s">
        <v>74</v>
      </c>
      <c r="B17" s="115">
        <v>51.85</v>
      </c>
      <c r="C17" s="115">
        <v>51.85</v>
      </c>
      <c r="D17" s="115"/>
    </row>
    <row r="18" spans="1:4" ht="27" customHeight="1">
      <c r="A18" s="112" t="s">
        <v>75</v>
      </c>
      <c r="B18" s="115">
        <v>8046.35</v>
      </c>
      <c r="C18" s="115">
        <v>8046.35</v>
      </c>
      <c r="D18" s="115"/>
    </row>
    <row r="19" spans="1:4" ht="27" customHeight="1">
      <c r="A19" s="112" t="s">
        <v>81</v>
      </c>
      <c r="B19" s="115">
        <v>25182.12</v>
      </c>
      <c r="C19" s="115"/>
      <c r="D19" s="115">
        <v>25182.12</v>
      </c>
    </row>
    <row r="20" spans="1:4" ht="27" customHeight="1">
      <c r="A20" s="112" t="s">
        <v>82</v>
      </c>
      <c r="B20" s="115">
        <v>2618.61</v>
      </c>
      <c r="C20" s="115"/>
      <c r="D20" s="115">
        <v>2618.61</v>
      </c>
    </row>
    <row r="21" spans="1:4" ht="27" customHeight="1">
      <c r="A21" s="112" t="s">
        <v>83</v>
      </c>
      <c r="B21" s="115">
        <v>722.88</v>
      </c>
      <c r="C21" s="115"/>
      <c r="D21" s="115">
        <v>722.88</v>
      </c>
    </row>
    <row r="22" spans="1:4" ht="27" customHeight="1">
      <c r="A22" s="112" t="s">
        <v>84</v>
      </c>
      <c r="B22" s="115">
        <v>54.86</v>
      </c>
      <c r="C22" s="115"/>
      <c r="D22" s="115">
        <v>54.86</v>
      </c>
    </row>
    <row r="23" spans="1:4" ht="27" customHeight="1">
      <c r="A23" s="112" t="s">
        <v>85</v>
      </c>
      <c r="B23" s="115">
        <v>38.3</v>
      </c>
      <c r="C23" s="115"/>
      <c r="D23" s="115">
        <v>38.3</v>
      </c>
    </row>
    <row r="24" spans="1:4" ht="27" customHeight="1">
      <c r="A24" s="112" t="s">
        <v>86</v>
      </c>
      <c r="B24" s="115">
        <v>442.5</v>
      </c>
      <c r="C24" s="115"/>
      <c r="D24" s="115">
        <v>442.5</v>
      </c>
    </row>
    <row r="25" spans="1:4" ht="27" customHeight="1">
      <c r="A25" s="112" t="s">
        <v>87</v>
      </c>
      <c r="B25" s="115">
        <v>1342.29</v>
      </c>
      <c r="C25" s="115"/>
      <c r="D25" s="115">
        <v>1342.29</v>
      </c>
    </row>
    <row r="26" spans="1:4" ht="27" customHeight="1">
      <c r="A26" s="112" t="s">
        <v>88</v>
      </c>
      <c r="B26" s="115">
        <v>703.58</v>
      </c>
      <c r="C26" s="115"/>
      <c r="D26" s="115">
        <v>703.58</v>
      </c>
    </row>
    <row r="27" spans="1:4" ht="27" customHeight="1">
      <c r="A27" s="112" t="s">
        <v>89</v>
      </c>
      <c r="B27" s="115">
        <v>640.44</v>
      </c>
      <c r="C27" s="115"/>
      <c r="D27" s="115">
        <v>640.44</v>
      </c>
    </row>
    <row r="28" spans="1:4" ht="27" customHeight="1">
      <c r="A28" s="112" t="s">
        <v>90</v>
      </c>
      <c r="B28" s="115">
        <v>463.25</v>
      </c>
      <c r="C28" s="115"/>
      <c r="D28" s="115">
        <v>463.25</v>
      </c>
    </row>
    <row r="29" spans="1:4" ht="27" customHeight="1">
      <c r="A29" s="112" t="s">
        <v>91</v>
      </c>
      <c r="B29" s="115">
        <v>89</v>
      </c>
      <c r="C29" s="115"/>
      <c r="D29" s="115">
        <v>89</v>
      </c>
    </row>
    <row r="30" spans="1:4" ht="27" customHeight="1">
      <c r="A30" s="112" t="s">
        <v>92</v>
      </c>
      <c r="B30" s="115">
        <v>1135.07</v>
      </c>
      <c r="C30" s="115"/>
      <c r="D30" s="115">
        <v>1135.07</v>
      </c>
    </row>
    <row r="31" spans="1:4" ht="27" customHeight="1">
      <c r="A31" s="112" t="s">
        <v>93</v>
      </c>
      <c r="B31" s="115">
        <v>427.12</v>
      </c>
      <c r="C31" s="115"/>
      <c r="D31" s="115">
        <v>427.12</v>
      </c>
    </row>
    <row r="32" spans="1:4" ht="27" customHeight="1">
      <c r="A32" s="112" t="s">
        <v>94</v>
      </c>
      <c r="B32" s="115">
        <v>236.1</v>
      </c>
      <c r="C32" s="115"/>
      <c r="D32" s="115">
        <v>236.1</v>
      </c>
    </row>
    <row r="33" spans="1:4" ht="27" customHeight="1">
      <c r="A33" s="112" t="s">
        <v>95</v>
      </c>
      <c r="B33" s="115">
        <v>497.61</v>
      </c>
      <c r="C33" s="115"/>
      <c r="D33" s="115">
        <v>497.61</v>
      </c>
    </row>
    <row r="34" spans="1:4" ht="27" customHeight="1">
      <c r="A34" s="112" t="s">
        <v>96</v>
      </c>
      <c r="B34" s="115">
        <v>319.75</v>
      </c>
      <c r="C34" s="115"/>
      <c r="D34" s="115">
        <v>319.75</v>
      </c>
    </row>
    <row r="35" spans="1:4" ht="27" customHeight="1">
      <c r="A35" s="112" t="s">
        <v>97</v>
      </c>
      <c r="B35" s="115">
        <v>2007.36</v>
      </c>
      <c r="C35" s="115"/>
      <c r="D35" s="115">
        <v>2007.36</v>
      </c>
    </row>
    <row r="36" spans="1:4" ht="27" customHeight="1">
      <c r="A36" s="112" t="s">
        <v>99</v>
      </c>
      <c r="B36" s="115">
        <v>3.1</v>
      </c>
      <c r="C36" s="115"/>
      <c r="D36" s="115">
        <v>3.1</v>
      </c>
    </row>
    <row r="37" spans="1:4" ht="27" customHeight="1">
      <c r="A37" s="112" t="s">
        <v>100</v>
      </c>
      <c r="B37" s="115">
        <v>959.69</v>
      </c>
      <c r="C37" s="115"/>
      <c r="D37" s="115">
        <v>959.69</v>
      </c>
    </row>
    <row r="38" spans="1:4" ht="27" customHeight="1">
      <c r="A38" s="112" t="s">
        <v>101</v>
      </c>
      <c r="B38" s="115">
        <v>2331.21</v>
      </c>
      <c r="C38" s="115"/>
      <c r="D38" s="115">
        <v>2331.21</v>
      </c>
    </row>
    <row r="39" spans="1:4" ht="27" customHeight="1">
      <c r="A39" s="112" t="s">
        <v>102</v>
      </c>
      <c r="B39" s="115">
        <v>2194.59</v>
      </c>
      <c r="C39" s="115"/>
      <c r="D39" s="115">
        <v>2194.59</v>
      </c>
    </row>
    <row r="40" spans="1:4" ht="27" customHeight="1">
      <c r="A40" s="112" t="s">
        <v>103</v>
      </c>
      <c r="B40" s="115">
        <v>5040.22</v>
      </c>
      <c r="C40" s="115"/>
      <c r="D40" s="115">
        <v>5040.22</v>
      </c>
    </row>
    <row r="41" spans="1:4" ht="27" customHeight="1">
      <c r="A41" s="112" t="s">
        <v>104</v>
      </c>
      <c r="B41" s="115">
        <v>550.8</v>
      </c>
      <c r="C41" s="115"/>
      <c r="D41" s="115">
        <v>550.8</v>
      </c>
    </row>
    <row r="42" spans="1:4" ht="27" customHeight="1">
      <c r="A42" s="112" t="s">
        <v>105</v>
      </c>
      <c r="B42" s="115">
        <v>1160.07</v>
      </c>
      <c r="C42" s="115"/>
      <c r="D42" s="115">
        <v>1160.07</v>
      </c>
    </row>
    <row r="43" spans="1:4" ht="27" customHeight="1">
      <c r="A43" s="112" t="s">
        <v>106</v>
      </c>
      <c r="B43" s="115">
        <v>3</v>
      </c>
      <c r="C43" s="115"/>
      <c r="D43" s="115">
        <v>3</v>
      </c>
    </row>
    <row r="44" spans="1:4" ht="27" customHeight="1">
      <c r="A44" s="112" t="s">
        <v>107</v>
      </c>
      <c r="B44" s="115">
        <v>1200.72</v>
      </c>
      <c r="C44" s="115"/>
      <c r="D44" s="115">
        <v>1200.72</v>
      </c>
    </row>
    <row r="45" spans="1:4" ht="27" customHeight="1">
      <c r="A45" s="112" t="s">
        <v>108</v>
      </c>
      <c r="B45" s="115">
        <v>629.65</v>
      </c>
      <c r="C45" s="115">
        <v>629.65</v>
      </c>
      <c r="D45" s="115"/>
    </row>
    <row r="46" spans="1:4" ht="27" customHeight="1">
      <c r="A46" s="112" t="s">
        <v>109</v>
      </c>
      <c r="B46" s="115">
        <v>438.52</v>
      </c>
      <c r="C46" s="115">
        <v>438.52</v>
      </c>
      <c r="D46" s="115"/>
    </row>
    <row r="47" spans="1:4" ht="27" customHeight="1">
      <c r="A47" s="112" t="s">
        <v>363</v>
      </c>
      <c r="B47" s="115">
        <v>5.88</v>
      </c>
      <c r="C47" s="115">
        <v>5.88</v>
      </c>
      <c r="D47" s="115"/>
    </row>
    <row r="48" spans="1:4" ht="27" customHeight="1">
      <c r="A48" s="112" t="s">
        <v>110</v>
      </c>
      <c r="B48" s="115">
        <v>18.71</v>
      </c>
      <c r="C48" s="115">
        <v>18.71</v>
      </c>
      <c r="D48" s="115"/>
    </row>
    <row r="49" spans="1:4" ht="27" customHeight="1">
      <c r="A49" s="112" t="s">
        <v>111</v>
      </c>
      <c r="B49" s="115">
        <v>7.03</v>
      </c>
      <c r="C49" s="115">
        <v>7.03</v>
      </c>
      <c r="D49" s="115"/>
    </row>
    <row r="50" spans="1:4" ht="27" customHeight="1">
      <c r="A50" s="112" t="s">
        <v>112</v>
      </c>
      <c r="B50" s="115">
        <v>159.51</v>
      </c>
      <c r="C50" s="115">
        <v>159.51</v>
      </c>
      <c r="D50" s="115"/>
    </row>
    <row r="51" spans="1:4" ht="27" customHeight="1">
      <c r="A51" s="112" t="s">
        <v>113</v>
      </c>
      <c r="B51" s="115">
        <v>682.96</v>
      </c>
      <c r="C51" s="115"/>
      <c r="D51" s="115">
        <v>682.96</v>
      </c>
    </row>
    <row r="52" spans="1:4" ht="27" customHeight="1">
      <c r="A52" s="112" t="s">
        <v>114</v>
      </c>
      <c r="B52" s="115">
        <v>587.76</v>
      </c>
      <c r="C52" s="115"/>
      <c r="D52" s="115">
        <v>587.76</v>
      </c>
    </row>
    <row r="53" spans="1:4" ht="27" customHeight="1">
      <c r="A53" s="112" t="s">
        <v>115</v>
      </c>
      <c r="B53" s="115">
        <v>1</v>
      </c>
      <c r="C53" s="115"/>
      <c r="D53" s="115">
        <v>1</v>
      </c>
    </row>
    <row r="54" spans="1:4" ht="27" customHeight="1">
      <c r="A54" s="112" t="s">
        <v>364</v>
      </c>
      <c r="B54" s="115">
        <v>5</v>
      </c>
      <c r="C54" s="115"/>
      <c r="D54" s="115">
        <v>5</v>
      </c>
    </row>
    <row r="55" spans="1:4" ht="27" customHeight="1">
      <c r="A55" s="113" t="s">
        <v>365</v>
      </c>
      <c r="B55" s="116">
        <v>89.2</v>
      </c>
      <c r="C55" s="116"/>
      <c r="D55" s="116">
        <v>89.2</v>
      </c>
    </row>
    <row r="56" spans="1:4" ht="27" customHeight="1">
      <c r="A56" s="114" t="s">
        <v>49</v>
      </c>
      <c r="B56" s="115">
        <f>B6+B19+B45+B51</f>
        <v>147497.03999999998</v>
      </c>
      <c r="C56" s="115">
        <f>C6+C19+C45+C51</f>
        <v>121631.95999999999</v>
      </c>
      <c r="D56" s="115">
        <f>D6+D19+D45+D51</f>
        <v>25865.079999999998</v>
      </c>
    </row>
    <row r="57" ht="27" customHeight="1"/>
  </sheetData>
  <sheetProtection/>
  <mergeCells count="3">
    <mergeCell ref="A4:A5"/>
    <mergeCell ref="B4:D4"/>
    <mergeCell ref="A2:D2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zoomScalePageLayoutView="0" workbookViewId="0" topLeftCell="A1">
      <selection activeCell="G11" sqref="G11"/>
    </sheetView>
  </sheetViews>
  <sheetFormatPr defaultColWidth="9.00390625" defaultRowHeight="14.25"/>
  <cols>
    <col min="1" max="1" width="31.00390625" style="0" customWidth="1"/>
    <col min="2" max="2" width="28.125" style="0" customWidth="1"/>
    <col min="3" max="3" width="34.375" style="0" customWidth="1"/>
    <col min="4" max="4" width="28.00390625" style="0" customWidth="1"/>
  </cols>
  <sheetData>
    <row r="1" ht="23.25" customHeight="1">
      <c r="A1" s="3" t="s">
        <v>55</v>
      </c>
    </row>
    <row r="2" spans="1:4" ht="42" customHeight="1">
      <c r="A2" s="152" t="s">
        <v>125</v>
      </c>
      <c r="B2" s="152"/>
      <c r="C2" s="152"/>
      <c r="D2" s="152"/>
    </row>
    <row r="3" ht="24" customHeight="1">
      <c r="D3" s="72" t="s">
        <v>0</v>
      </c>
    </row>
    <row r="4" spans="1:4" ht="35.25" customHeight="1">
      <c r="A4" s="40" t="s">
        <v>6</v>
      </c>
      <c r="B4" s="40" t="s">
        <v>39</v>
      </c>
      <c r="C4" s="40" t="s">
        <v>6</v>
      </c>
      <c r="D4" s="40" t="s">
        <v>39</v>
      </c>
    </row>
    <row r="5" spans="1:4" ht="35.25" customHeight="1">
      <c r="A5" s="41" t="s">
        <v>40</v>
      </c>
      <c r="B5" s="55">
        <f>SUM(B6:B9)</f>
        <v>1982490.47</v>
      </c>
      <c r="C5" s="41" t="s">
        <v>41</v>
      </c>
      <c r="D5" s="55">
        <f>SUM(D6:D9)</f>
        <v>2041785.24</v>
      </c>
    </row>
    <row r="6" spans="1:4" ht="35.25" customHeight="1">
      <c r="A6" s="41" t="s">
        <v>42</v>
      </c>
      <c r="B6" s="55">
        <f>'2019年一般公共预算收入预期表'!B6</f>
        <v>1846400</v>
      </c>
      <c r="C6" s="41" t="s">
        <v>43</v>
      </c>
      <c r="D6" s="55">
        <f>'2019年一般公共预算支出预算表'!B25</f>
        <v>1180000</v>
      </c>
    </row>
    <row r="7" spans="1:4" ht="35.25" customHeight="1">
      <c r="A7" s="41" t="s">
        <v>44</v>
      </c>
      <c r="B7" s="55">
        <v>17322.3</v>
      </c>
      <c r="C7" s="41" t="s">
        <v>690</v>
      </c>
      <c r="D7" s="55">
        <f>'2019年一般公共预算支出预算表'!B27</f>
        <v>80000</v>
      </c>
    </row>
    <row r="8" spans="1:4" ht="35.25" customHeight="1">
      <c r="A8" s="41" t="s">
        <v>45</v>
      </c>
      <c r="B8" s="55">
        <v>103768.17</v>
      </c>
      <c r="C8" s="41" t="s">
        <v>694</v>
      </c>
      <c r="D8" s="55">
        <v>766785.24</v>
      </c>
    </row>
    <row r="9" spans="1:4" ht="35.25" customHeight="1">
      <c r="A9" s="41" t="s">
        <v>693</v>
      </c>
      <c r="B9" s="55">
        <v>15000</v>
      </c>
      <c r="C9" s="41" t="s">
        <v>692</v>
      </c>
      <c r="D9" s="55">
        <f>'2019年一般公共预算支出预算表'!B26</f>
        <v>15000</v>
      </c>
    </row>
    <row r="10" spans="1:4" ht="35.25" customHeight="1">
      <c r="A10" s="41"/>
      <c r="B10" s="55"/>
      <c r="C10" s="41"/>
      <c r="D10" s="55"/>
    </row>
    <row r="11" spans="1:4" ht="35.25" customHeight="1">
      <c r="A11" s="41" t="s">
        <v>58</v>
      </c>
      <c r="B11" s="55">
        <f>SUM(B12:B14)</f>
        <v>108434.92</v>
      </c>
      <c r="C11" s="41" t="s">
        <v>59</v>
      </c>
      <c r="D11" s="55">
        <f>SUM(D12:D14)</f>
        <v>49140.14</v>
      </c>
    </row>
    <row r="12" spans="1:4" ht="35.25" customHeight="1">
      <c r="A12" s="41" t="s">
        <v>46</v>
      </c>
      <c r="B12" s="55">
        <f>'2018年一般公共预算收支平衡表'!D12</f>
        <v>12038</v>
      </c>
      <c r="C12" s="41" t="s">
        <v>46</v>
      </c>
      <c r="D12" s="55"/>
    </row>
    <row r="13" spans="1:4" ht="35.25" customHeight="1">
      <c r="A13" s="41" t="s">
        <v>696</v>
      </c>
      <c r="B13" s="55">
        <f>'2018年一般公共预算收支平衡表'!D13</f>
        <v>96396.92</v>
      </c>
      <c r="C13" s="41" t="s">
        <v>696</v>
      </c>
      <c r="D13" s="55">
        <v>49140.14</v>
      </c>
    </row>
    <row r="14" spans="1:4" ht="35.25" customHeight="1">
      <c r="A14" s="43" t="s">
        <v>48</v>
      </c>
      <c r="B14" s="55"/>
      <c r="C14" s="43" t="s">
        <v>48</v>
      </c>
      <c r="D14" s="55"/>
    </row>
    <row r="15" spans="1:4" ht="35.25" customHeight="1">
      <c r="A15" s="42" t="s">
        <v>47</v>
      </c>
      <c r="B15" s="55">
        <f>SUM(B5,B11)</f>
        <v>2090925.39</v>
      </c>
      <c r="C15" s="42" t="s">
        <v>47</v>
      </c>
      <c r="D15" s="55">
        <f>SUM(D5,D11)</f>
        <v>2090925.38</v>
      </c>
    </row>
  </sheetData>
  <sheetProtection/>
  <mergeCells count="1">
    <mergeCell ref="A2:D2"/>
  </mergeCells>
  <printOptions/>
  <pageMargins left="0.99" right="0.7086614173228347" top="0.7480314960629921" bottom="0.7480314960629921" header="0.31496062992125984" footer="0.31496062992125984"/>
  <pageSetup fitToHeight="1" fitToWidth="1" horizontalDpi="600" verticalDpi="600" orientation="landscape" paperSize="9" scale="9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38"/>
  <sheetViews>
    <sheetView zoomScalePageLayoutView="0" workbookViewId="0" topLeftCell="A1">
      <selection activeCell="A1" sqref="A1:B1"/>
    </sheetView>
  </sheetViews>
  <sheetFormatPr defaultColWidth="9.00390625" defaultRowHeight="14.25"/>
  <cols>
    <col min="1" max="1" width="57.50390625" style="0" bestFit="1" customWidth="1"/>
    <col min="2" max="2" width="18.00390625" style="0" bestFit="1" customWidth="1"/>
  </cols>
  <sheetData>
    <row r="1" spans="1:2" ht="22.5">
      <c r="A1" s="163" t="s">
        <v>765</v>
      </c>
      <c r="B1" s="163"/>
    </row>
    <row r="2" spans="1:2" ht="18.75">
      <c r="A2" s="128"/>
      <c r="B2" s="127" t="s">
        <v>8</v>
      </c>
    </row>
    <row r="3" spans="1:2" ht="18.75">
      <c r="A3" s="129" t="s">
        <v>699</v>
      </c>
      <c r="B3" s="129" t="s">
        <v>761</v>
      </c>
    </row>
    <row r="4" spans="1:2" ht="18.75">
      <c r="A4" s="126" t="s">
        <v>702</v>
      </c>
      <c r="B4" s="126"/>
    </row>
    <row r="5" spans="1:2" ht="18.75">
      <c r="A5" s="126" t="s">
        <v>703</v>
      </c>
      <c r="B5" s="126">
        <v>9686</v>
      </c>
    </row>
    <row r="6" spans="1:2" ht="18.75">
      <c r="A6" s="126" t="s">
        <v>704</v>
      </c>
      <c r="B6" s="126"/>
    </row>
    <row r="7" spans="1:2" ht="18.75">
      <c r="A7" s="126" t="s">
        <v>705</v>
      </c>
      <c r="B7" s="126">
        <v>6262</v>
      </c>
    </row>
    <row r="8" spans="1:2" ht="18.75">
      <c r="A8" s="126" t="s">
        <v>706</v>
      </c>
      <c r="B8" s="126"/>
    </row>
    <row r="9" spans="1:2" ht="18.75">
      <c r="A9" s="126" t="s">
        <v>707</v>
      </c>
      <c r="B9" s="126">
        <v>1374</v>
      </c>
    </row>
    <row r="10" spans="1:2" ht="18.75">
      <c r="A10" s="126" t="s">
        <v>708</v>
      </c>
      <c r="B10" s="126"/>
    </row>
    <row r="11" spans="1:2" ht="18.75">
      <c r="A11" s="126" t="s">
        <v>709</v>
      </c>
      <c r="B11" s="126">
        <v>5000</v>
      </c>
    </row>
    <row r="12" spans="1:2" ht="18.75">
      <c r="A12" s="126" t="s">
        <v>710</v>
      </c>
      <c r="B12" s="126"/>
    </row>
    <row r="13" spans="1:2" ht="18.75">
      <c r="A13" s="126" t="s">
        <v>711</v>
      </c>
      <c r="B13" s="126"/>
    </row>
    <row r="14" spans="1:2" ht="18.75">
      <c r="A14" s="126" t="s">
        <v>712</v>
      </c>
      <c r="B14" s="126">
        <v>10000</v>
      </c>
    </row>
    <row r="15" spans="1:2" ht="18.75">
      <c r="A15" s="126" t="s">
        <v>713</v>
      </c>
      <c r="B15" s="126"/>
    </row>
    <row r="16" spans="1:2" ht="18.75">
      <c r="A16" s="126" t="s">
        <v>714</v>
      </c>
      <c r="B16" s="126"/>
    </row>
    <row r="17" spans="1:2" ht="18.75">
      <c r="A17" s="126" t="s">
        <v>715</v>
      </c>
      <c r="B17" s="126"/>
    </row>
    <row r="18" spans="1:2" ht="18.75">
      <c r="A18" s="126" t="s">
        <v>716</v>
      </c>
      <c r="B18" s="126"/>
    </row>
    <row r="19" spans="1:2" ht="18.75">
      <c r="A19" s="126" t="s">
        <v>717</v>
      </c>
      <c r="B19" s="126"/>
    </row>
    <row r="20" spans="1:2" ht="18.75">
      <c r="A20" s="126" t="s">
        <v>718</v>
      </c>
      <c r="B20" s="126"/>
    </row>
    <row r="21" spans="1:2" ht="18.75">
      <c r="A21" s="126" t="s">
        <v>719</v>
      </c>
      <c r="B21" s="126"/>
    </row>
    <row r="22" spans="1:2" ht="18.75">
      <c r="A22" s="126" t="s">
        <v>720</v>
      </c>
      <c r="B22" s="126"/>
    </row>
    <row r="23" spans="1:2" ht="18.75">
      <c r="A23" s="126" t="s">
        <v>721</v>
      </c>
      <c r="B23" s="126"/>
    </row>
    <row r="24" spans="1:2" ht="18.75">
      <c r="A24" s="126" t="s">
        <v>722</v>
      </c>
      <c r="B24" s="126"/>
    </row>
    <row r="25" spans="1:2" ht="18.75">
      <c r="A25" s="126" t="s">
        <v>723</v>
      </c>
      <c r="B25" s="126"/>
    </row>
    <row r="26" spans="1:2" ht="18.75">
      <c r="A26" s="126" t="s">
        <v>724</v>
      </c>
      <c r="B26" s="126"/>
    </row>
    <row r="27" spans="1:2" ht="18.75">
      <c r="A27" s="126" t="s">
        <v>725</v>
      </c>
      <c r="B27" s="126"/>
    </row>
    <row r="28" spans="1:2" ht="18.75">
      <c r="A28" s="126" t="s">
        <v>726</v>
      </c>
      <c r="B28" s="126"/>
    </row>
    <row r="29" spans="1:2" ht="18.75">
      <c r="A29" s="126" t="s">
        <v>727</v>
      </c>
      <c r="B29" s="126"/>
    </row>
    <row r="30" spans="1:2" ht="18.75">
      <c r="A30" s="126" t="s">
        <v>728</v>
      </c>
      <c r="B30" s="126"/>
    </row>
    <row r="31" spans="1:2" ht="18.75">
      <c r="A31" s="126" t="s">
        <v>729</v>
      </c>
      <c r="B31" s="126"/>
    </row>
    <row r="32" spans="1:2" ht="18.75">
      <c r="A32" s="126" t="s">
        <v>730</v>
      </c>
      <c r="B32" s="126"/>
    </row>
    <row r="33" spans="1:2" ht="18.75">
      <c r="A33" s="126" t="s">
        <v>731</v>
      </c>
      <c r="B33" s="126"/>
    </row>
    <row r="34" spans="1:2" ht="18.75">
      <c r="A34" s="126" t="s">
        <v>732</v>
      </c>
      <c r="B34" s="126"/>
    </row>
    <row r="35" spans="1:2" ht="18.75">
      <c r="A35" s="126" t="s">
        <v>733</v>
      </c>
      <c r="B35" s="126"/>
    </row>
    <row r="36" spans="1:2" ht="18.75">
      <c r="A36" s="126" t="s">
        <v>734</v>
      </c>
      <c r="B36" s="126"/>
    </row>
    <row r="37" spans="1:2" ht="18.75">
      <c r="A37" s="126" t="s">
        <v>735</v>
      </c>
      <c r="B37" s="126">
        <v>989</v>
      </c>
    </row>
    <row r="38" spans="1:2" ht="18.75">
      <c r="A38" s="130" t="s">
        <v>736</v>
      </c>
      <c r="B38" s="126">
        <v>33311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E10" sqref="E10"/>
    </sheetView>
  </sheetViews>
  <sheetFormatPr defaultColWidth="9.00390625" defaultRowHeight="14.25"/>
  <cols>
    <col min="1" max="1" width="34.00390625" style="0" customWidth="1"/>
    <col min="2" max="2" width="18.00390625" style="0" bestFit="1" customWidth="1"/>
  </cols>
  <sheetData>
    <row r="1" spans="1:2" ht="22.5">
      <c r="A1" s="164" t="s">
        <v>766</v>
      </c>
      <c r="B1" s="164"/>
    </row>
    <row r="2" spans="1:2" ht="18.75">
      <c r="A2" s="135"/>
      <c r="B2" s="138" t="s">
        <v>8</v>
      </c>
    </row>
    <row r="3" spans="1:2" ht="18.75">
      <c r="A3" s="137" t="s">
        <v>699</v>
      </c>
      <c r="B3" s="137" t="s">
        <v>761</v>
      </c>
    </row>
    <row r="4" spans="1:2" ht="18.75">
      <c r="A4" s="136" t="s">
        <v>737</v>
      </c>
      <c r="B4" s="136"/>
    </row>
    <row r="5" spans="1:2" ht="18.75">
      <c r="A5" s="136" t="s">
        <v>738</v>
      </c>
      <c r="B5" s="136">
        <v>120</v>
      </c>
    </row>
    <row r="6" spans="1:2" ht="18.75">
      <c r="A6" s="136" t="s">
        <v>739</v>
      </c>
      <c r="B6" s="136"/>
    </row>
    <row r="7" spans="1:2" ht="18.75">
      <c r="A7" s="136" t="s">
        <v>740</v>
      </c>
      <c r="B7" s="136"/>
    </row>
    <row r="8" spans="1:2" ht="18.75">
      <c r="A8" s="136" t="s">
        <v>741</v>
      </c>
      <c r="B8" s="136">
        <v>981</v>
      </c>
    </row>
    <row r="9" spans="1:2" ht="18.75">
      <c r="A9" s="136" t="s">
        <v>742</v>
      </c>
      <c r="B9" s="136">
        <v>24306</v>
      </c>
    </row>
    <row r="10" spans="1:2" ht="18.75">
      <c r="A10" s="136" t="s">
        <v>743</v>
      </c>
      <c r="B10" s="136">
        <v>9410</v>
      </c>
    </row>
    <row r="11" spans="1:2" ht="18.75">
      <c r="A11" s="136" t="s">
        <v>762</v>
      </c>
      <c r="B11" s="136">
        <v>205</v>
      </c>
    </row>
    <row r="12" spans="1:2" ht="18.75">
      <c r="A12" s="136" t="s">
        <v>745</v>
      </c>
      <c r="B12" s="136">
        <v>7153</v>
      </c>
    </row>
    <row r="13" spans="1:2" ht="18.75">
      <c r="A13" s="136" t="s">
        <v>763</v>
      </c>
      <c r="B13" s="136">
        <v>150</v>
      </c>
    </row>
    <row r="14" spans="1:2" ht="18.75">
      <c r="A14" s="136" t="s">
        <v>747</v>
      </c>
      <c r="B14" s="136">
        <v>420</v>
      </c>
    </row>
    <row r="15" spans="1:2" ht="18.75">
      <c r="A15" s="136" t="s">
        <v>748</v>
      </c>
      <c r="B15" s="136">
        <v>22</v>
      </c>
    </row>
    <row r="16" spans="1:2" ht="18.75">
      <c r="A16" s="136" t="s">
        <v>749</v>
      </c>
      <c r="B16" s="136">
        <v>332</v>
      </c>
    </row>
    <row r="17" spans="1:2" ht="18.75">
      <c r="A17" s="136" t="s">
        <v>750</v>
      </c>
      <c r="B17" s="136"/>
    </row>
    <row r="18" spans="1:2" ht="18.75">
      <c r="A18" s="136" t="s">
        <v>751</v>
      </c>
      <c r="B18" s="136">
        <v>13010</v>
      </c>
    </row>
    <row r="19" spans="1:2" ht="18.75">
      <c r="A19" s="136" t="s">
        <v>752</v>
      </c>
      <c r="B19" s="136">
        <v>5428</v>
      </c>
    </row>
    <row r="20" spans="1:2" ht="18.75">
      <c r="A20" s="136" t="s">
        <v>753</v>
      </c>
      <c r="B20" s="136"/>
    </row>
    <row r="21" spans="1:2" ht="18.75">
      <c r="A21" s="136" t="s">
        <v>764</v>
      </c>
      <c r="B21" s="136"/>
    </row>
    <row r="22" spans="1:2" ht="18.75">
      <c r="A22" s="136" t="s">
        <v>755</v>
      </c>
      <c r="B22" s="136">
        <v>2450</v>
      </c>
    </row>
    <row r="23" spans="1:2" ht="18.75">
      <c r="A23" s="136" t="s">
        <v>756</v>
      </c>
      <c r="B23" s="136"/>
    </row>
    <row r="24" spans="1:2" ht="18.75">
      <c r="A24" s="136" t="s">
        <v>627</v>
      </c>
      <c r="B24" s="136">
        <v>24</v>
      </c>
    </row>
    <row r="25" spans="1:2" ht="18.75">
      <c r="A25" s="136" t="s">
        <v>758</v>
      </c>
      <c r="B25" s="136">
        <v>64011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"/>
  <sheetViews>
    <sheetView tabSelected="1" zoomScalePageLayoutView="0" workbookViewId="0" topLeftCell="A1">
      <selection activeCell="E31" sqref="E31"/>
    </sheetView>
  </sheetViews>
  <sheetFormatPr defaultColWidth="9.00390625" defaultRowHeight="14.25"/>
  <cols>
    <col min="1" max="3" width="23.625" style="0" customWidth="1"/>
  </cols>
  <sheetData>
    <row r="1" spans="1:3" ht="22.5">
      <c r="A1" s="165" t="s">
        <v>767</v>
      </c>
      <c r="B1" s="165"/>
      <c r="C1" s="165"/>
    </row>
    <row r="2" spans="1:3" ht="14.25">
      <c r="A2" s="166"/>
      <c r="B2" s="166"/>
      <c r="C2" s="170" t="s">
        <v>784</v>
      </c>
    </row>
    <row r="3" spans="1:3" ht="18.75">
      <c r="A3" s="167" t="s">
        <v>768</v>
      </c>
      <c r="B3" s="167" t="s">
        <v>769</v>
      </c>
      <c r="C3" s="167" t="s">
        <v>770</v>
      </c>
    </row>
    <row r="4" spans="1:3" ht="18.75">
      <c r="A4" s="167" t="s">
        <v>771</v>
      </c>
      <c r="B4" s="167">
        <v>54.76</v>
      </c>
      <c r="C4" s="167">
        <v>54.76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E17" sqref="E17"/>
    </sheetView>
  </sheetViews>
  <sheetFormatPr defaultColWidth="9.00390625" defaultRowHeight="14.25"/>
  <cols>
    <col min="1" max="1" width="51.125" style="0" bestFit="1" customWidth="1"/>
    <col min="2" max="2" width="8.875" style="0" bestFit="1" customWidth="1"/>
    <col min="3" max="3" width="11.625" style="0" bestFit="1" customWidth="1"/>
  </cols>
  <sheetData>
    <row r="1" spans="1:3" ht="22.5">
      <c r="A1" s="165" t="s">
        <v>772</v>
      </c>
      <c r="B1" s="165"/>
      <c r="C1" s="165"/>
    </row>
    <row r="2" spans="1:3" ht="14.25">
      <c r="A2" s="168"/>
      <c r="B2" s="168"/>
      <c r="C2" s="170" t="s">
        <v>773</v>
      </c>
    </row>
    <row r="3" spans="1:3" ht="34.5" customHeight="1">
      <c r="A3" s="169" t="s">
        <v>699</v>
      </c>
      <c r="B3" s="169" t="s">
        <v>774</v>
      </c>
      <c r="C3" s="169" t="s">
        <v>775</v>
      </c>
    </row>
    <row r="4" spans="1:3" ht="34.5" customHeight="1">
      <c r="A4" s="171" t="s">
        <v>776</v>
      </c>
      <c r="B4" s="171">
        <v>54.76</v>
      </c>
      <c r="C4" s="171">
        <v>54.76</v>
      </c>
    </row>
    <row r="5" spans="1:3" ht="34.5" customHeight="1">
      <c r="A5" s="171" t="s">
        <v>777</v>
      </c>
      <c r="B5" s="171">
        <v>56.26</v>
      </c>
      <c r="C5" s="171">
        <v>56.26</v>
      </c>
    </row>
    <row r="6" spans="1:3" ht="34.5" customHeight="1">
      <c r="A6" s="171" t="s">
        <v>778</v>
      </c>
      <c r="B6" s="171">
        <v>17.5</v>
      </c>
      <c r="C6" s="171">
        <v>17.5</v>
      </c>
    </row>
    <row r="7" spans="1:3" ht="34.5" customHeight="1">
      <c r="A7" s="171" t="s">
        <v>779</v>
      </c>
      <c r="B7" s="171">
        <v>17.5</v>
      </c>
      <c r="C7" s="171">
        <v>17.5</v>
      </c>
    </row>
    <row r="8" spans="1:3" ht="34.5" customHeight="1">
      <c r="A8" s="171" t="s">
        <v>780</v>
      </c>
      <c r="B8" s="171">
        <v>16</v>
      </c>
      <c r="C8" s="171">
        <v>16</v>
      </c>
    </row>
    <row r="9" spans="1:3" ht="34.5" customHeight="1">
      <c r="A9" s="171" t="s">
        <v>781</v>
      </c>
      <c r="B9" s="171">
        <v>56.26</v>
      </c>
      <c r="C9" s="171">
        <v>56.26</v>
      </c>
    </row>
    <row r="10" spans="1:3" ht="34.5" customHeight="1">
      <c r="A10" s="171" t="s">
        <v>782</v>
      </c>
      <c r="B10" s="171"/>
      <c r="C10" s="169" t="s">
        <v>783</v>
      </c>
    </row>
    <row r="11" spans="1:3" ht="14.25">
      <c r="A11" s="168"/>
      <c r="B11" s="168"/>
      <c r="C11" s="168"/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zoomScalePageLayoutView="0" workbookViewId="0" topLeftCell="A1">
      <selection activeCell="I14" sqref="I14"/>
    </sheetView>
  </sheetViews>
  <sheetFormatPr defaultColWidth="9.00390625" defaultRowHeight="14.25"/>
  <cols>
    <col min="1" max="1" width="27.125" style="22" customWidth="1"/>
    <col min="2" max="2" width="11.75390625" style="22" customWidth="1"/>
    <col min="3" max="4" width="11.75390625" style="23" customWidth="1"/>
    <col min="5" max="5" width="11.25390625" style="24" customWidth="1"/>
    <col min="6" max="6" width="11.625" style="24" customWidth="1"/>
    <col min="7" max="16384" width="9.00390625" style="25" customWidth="1"/>
  </cols>
  <sheetData>
    <row r="1" ht="14.25">
      <c r="A1" s="22" t="s">
        <v>28</v>
      </c>
    </row>
    <row r="2" spans="1:6" ht="19.5" customHeight="1">
      <c r="A2" s="139" t="s">
        <v>116</v>
      </c>
      <c r="B2" s="139"/>
      <c r="C2" s="139"/>
      <c r="D2" s="139"/>
      <c r="E2" s="139"/>
      <c r="F2" s="139"/>
    </row>
    <row r="3" spans="1:6" ht="15" customHeight="1">
      <c r="A3" s="139"/>
      <c r="B3" s="139"/>
      <c r="C3" s="139"/>
      <c r="D3" s="139"/>
      <c r="E3" s="139"/>
      <c r="F3" s="139"/>
    </row>
    <row r="4" spans="1:6" ht="19.5" customHeight="1">
      <c r="A4" s="26"/>
      <c r="B4" s="26"/>
      <c r="C4" s="27"/>
      <c r="D4" s="28"/>
      <c r="E4" s="140" t="s">
        <v>0</v>
      </c>
      <c r="F4" s="140"/>
    </row>
    <row r="5" spans="1:6" s="31" customFormat="1" ht="58.5" customHeight="1">
      <c r="A5" s="29" t="s">
        <v>1</v>
      </c>
      <c r="B5" s="52" t="s">
        <v>119</v>
      </c>
      <c r="C5" s="38" t="s">
        <v>118</v>
      </c>
      <c r="D5" s="38" t="s">
        <v>117</v>
      </c>
      <c r="E5" s="30" t="s">
        <v>29</v>
      </c>
      <c r="F5" s="30" t="s">
        <v>2</v>
      </c>
    </row>
    <row r="6" spans="1:6" ht="35.25" customHeight="1">
      <c r="A6" s="32" t="s">
        <v>30</v>
      </c>
      <c r="B6" s="85">
        <f>SUM(B7,B13)</f>
        <v>1600000</v>
      </c>
      <c r="C6" s="85">
        <f>SUM(C7,C13)</f>
        <v>1648585</v>
      </c>
      <c r="D6" s="91">
        <f>SUM(D7,D13)</f>
        <v>1428138</v>
      </c>
      <c r="E6" s="86">
        <f aca="true" t="shared" si="0" ref="E6:E18">SUM(C6/B6)*100</f>
        <v>103.0365625</v>
      </c>
      <c r="F6" s="86">
        <f aca="true" t="shared" si="1" ref="F6:F18">SUM(C6/D6-1)*100</f>
        <v>15.435973274291426</v>
      </c>
    </row>
    <row r="7" spans="1:6" ht="35.25" customHeight="1">
      <c r="A7" s="11" t="s">
        <v>3</v>
      </c>
      <c r="B7" s="85">
        <f>SUM(B8,B9:B12)</f>
        <v>1509200</v>
      </c>
      <c r="C7" s="85">
        <f>SUM(C8,C9:C12)</f>
        <v>1559520</v>
      </c>
      <c r="D7" s="91">
        <f>SUM(D8,D9:D12)</f>
        <v>1348224</v>
      </c>
      <c r="E7" s="86">
        <f t="shared" si="0"/>
        <v>103.33421680360455</v>
      </c>
      <c r="F7" s="86">
        <f t="shared" si="1"/>
        <v>15.672173170037018</v>
      </c>
    </row>
    <row r="8" spans="1:6" ht="35.25" customHeight="1">
      <c r="A8" s="11" t="s">
        <v>32</v>
      </c>
      <c r="B8" s="91">
        <v>491300</v>
      </c>
      <c r="C8" s="92">
        <v>617530</v>
      </c>
      <c r="D8" s="92">
        <v>449908</v>
      </c>
      <c r="E8" s="86">
        <f t="shared" si="0"/>
        <v>125.69305923061268</v>
      </c>
      <c r="F8" s="86">
        <f t="shared" si="1"/>
        <v>37.25695030984113</v>
      </c>
    </row>
    <row r="9" spans="1:6" ht="35.25" customHeight="1">
      <c r="A9" s="11" t="s">
        <v>24</v>
      </c>
      <c r="B9" s="85">
        <v>419200</v>
      </c>
      <c r="C9" s="92">
        <v>288610</v>
      </c>
      <c r="D9" s="92">
        <v>370140</v>
      </c>
      <c r="E9" s="86">
        <f t="shared" si="0"/>
        <v>68.84780534351145</v>
      </c>
      <c r="F9" s="86">
        <f t="shared" si="1"/>
        <v>-22.026800670016755</v>
      </c>
    </row>
    <row r="10" spans="1:6" ht="35.25" customHeight="1">
      <c r="A10" s="11" t="s">
        <v>25</v>
      </c>
      <c r="B10" s="85">
        <v>331500</v>
      </c>
      <c r="C10" s="93">
        <v>352172</v>
      </c>
      <c r="D10" s="93">
        <v>292737</v>
      </c>
      <c r="E10" s="86">
        <f t="shared" si="0"/>
        <v>106.23589743589743</v>
      </c>
      <c r="F10" s="86">
        <f t="shared" si="1"/>
        <v>20.303207315781748</v>
      </c>
    </row>
    <row r="11" spans="1:6" ht="35.25" customHeight="1">
      <c r="A11" s="11" t="s">
        <v>26</v>
      </c>
      <c r="B11" s="85">
        <v>124800</v>
      </c>
      <c r="C11" s="93">
        <v>112340</v>
      </c>
      <c r="D11" s="93">
        <v>109328</v>
      </c>
      <c r="E11" s="86">
        <f t="shared" si="0"/>
        <v>90.01602564102565</v>
      </c>
      <c r="F11" s="86">
        <f t="shared" si="1"/>
        <v>2.7550124396312103</v>
      </c>
    </row>
    <row r="12" spans="1:6" ht="35.25" customHeight="1">
      <c r="A12" s="11" t="s">
        <v>27</v>
      </c>
      <c r="B12" s="85">
        <v>142400</v>
      </c>
      <c r="C12" s="91">
        <v>188868</v>
      </c>
      <c r="D12" s="91">
        <v>126111</v>
      </c>
      <c r="E12" s="86">
        <f t="shared" si="0"/>
        <v>132.6320224719101</v>
      </c>
      <c r="F12" s="86">
        <f t="shared" si="1"/>
        <v>49.76330375621476</v>
      </c>
    </row>
    <row r="13" spans="1:6" ht="35.25" customHeight="1">
      <c r="A13" s="11" t="s">
        <v>4</v>
      </c>
      <c r="B13" s="85">
        <f>SUM(B14,B15:B15,B16:B16)</f>
        <v>90800</v>
      </c>
      <c r="C13" s="85">
        <f>SUM(C14,C15:C15,C16:C16)</f>
        <v>89065</v>
      </c>
      <c r="D13" s="91">
        <f>SUM(D14,D15:D15,D16:D16)</f>
        <v>79914</v>
      </c>
      <c r="E13" s="86">
        <f t="shared" si="0"/>
        <v>98.08920704845815</v>
      </c>
      <c r="F13" s="86">
        <f t="shared" si="1"/>
        <v>11.451059889381089</v>
      </c>
    </row>
    <row r="14" spans="1:6" ht="35.25" customHeight="1">
      <c r="A14" s="11" t="s">
        <v>5</v>
      </c>
      <c r="B14" s="94">
        <v>87500</v>
      </c>
      <c r="C14" s="85">
        <v>85915</v>
      </c>
      <c r="D14" s="85">
        <v>76691</v>
      </c>
      <c r="E14" s="86">
        <f t="shared" si="0"/>
        <v>98.18857142857142</v>
      </c>
      <c r="F14" s="86">
        <f t="shared" si="1"/>
        <v>12.02748692806197</v>
      </c>
    </row>
    <row r="15" spans="1:6" ht="35.25" customHeight="1">
      <c r="A15" s="50" t="s">
        <v>126</v>
      </c>
      <c r="B15" s="90">
        <v>3000</v>
      </c>
      <c r="C15" s="90">
        <v>2514</v>
      </c>
      <c r="D15" s="90">
        <v>2934</v>
      </c>
      <c r="E15" s="86">
        <f t="shared" si="0"/>
        <v>83.8</v>
      </c>
      <c r="F15" s="86">
        <f t="shared" si="1"/>
        <v>-14.314928425357875</v>
      </c>
    </row>
    <row r="16" spans="1:6" ht="35.25" customHeight="1">
      <c r="A16" s="51" t="s">
        <v>128</v>
      </c>
      <c r="B16" s="90">
        <v>300</v>
      </c>
      <c r="C16" s="90">
        <v>636</v>
      </c>
      <c r="D16" s="90">
        <v>289</v>
      </c>
      <c r="E16" s="86">
        <f t="shared" si="0"/>
        <v>212</v>
      </c>
      <c r="F16" s="86">
        <f t="shared" si="1"/>
        <v>120.06920415224913</v>
      </c>
    </row>
    <row r="17" spans="1:6" ht="35.25" customHeight="1">
      <c r="A17" s="32" t="s">
        <v>31</v>
      </c>
      <c r="B17" s="85">
        <v>1617800</v>
      </c>
      <c r="C17" s="90">
        <v>1579478</v>
      </c>
      <c r="D17" s="90">
        <v>1444693</v>
      </c>
      <c r="E17" s="86">
        <f t="shared" si="0"/>
        <v>97.63122759302757</v>
      </c>
      <c r="F17" s="86">
        <f t="shared" si="1"/>
        <v>9.329663810927302</v>
      </c>
    </row>
    <row r="18" spans="1:6" ht="35.25" customHeight="1">
      <c r="A18" s="32" t="s">
        <v>7</v>
      </c>
      <c r="B18" s="90">
        <f>SUM(B6,B17)</f>
        <v>3217800</v>
      </c>
      <c r="C18" s="90">
        <f>SUM(C6,C17)</f>
        <v>3228063</v>
      </c>
      <c r="D18" s="90">
        <f>SUM(D6,D17)</f>
        <v>2872831</v>
      </c>
      <c r="E18" s="86">
        <f t="shared" si="0"/>
        <v>100.3189446205482</v>
      </c>
      <c r="F18" s="86">
        <f t="shared" si="1"/>
        <v>12.365224407561737</v>
      </c>
    </row>
    <row r="19" spans="1:6" ht="24.75" customHeight="1">
      <c r="A19" s="141"/>
      <c r="B19" s="141"/>
      <c r="C19" s="141"/>
      <c r="D19" s="141"/>
      <c r="E19" s="141"/>
      <c r="F19" s="141"/>
    </row>
    <row r="20" ht="14.25">
      <c r="A20" s="34"/>
    </row>
    <row r="21" ht="14.25">
      <c r="A21" s="34"/>
    </row>
  </sheetData>
  <sheetProtection/>
  <mergeCells count="3">
    <mergeCell ref="A2:F3"/>
    <mergeCell ref="E4:F4"/>
    <mergeCell ref="A19:F19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23" sqref="H23"/>
    </sheetView>
  </sheetViews>
  <sheetFormatPr defaultColWidth="9.00390625" defaultRowHeight="14.25"/>
  <cols>
    <col min="1" max="1" width="28.375" style="6" customWidth="1"/>
    <col min="2" max="4" width="11.75390625" style="4" customWidth="1"/>
    <col min="5" max="6" width="11.125" style="5" customWidth="1"/>
    <col min="7" max="16384" width="9.00390625" style="6" customWidth="1"/>
  </cols>
  <sheetData>
    <row r="1" ht="18" customHeight="1">
      <c r="A1" s="3" t="s">
        <v>21</v>
      </c>
    </row>
    <row r="2" spans="1:6" ht="12.75">
      <c r="A2" s="139" t="s">
        <v>121</v>
      </c>
      <c r="B2" s="139"/>
      <c r="C2" s="139"/>
      <c r="D2" s="139"/>
      <c r="E2" s="139"/>
      <c r="F2" s="139"/>
    </row>
    <row r="3" spans="1:6" ht="15.75" customHeight="1">
      <c r="A3" s="139"/>
      <c r="B3" s="139"/>
      <c r="C3" s="139"/>
      <c r="D3" s="139"/>
      <c r="E3" s="139"/>
      <c r="F3" s="139"/>
    </row>
    <row r="4" spans="1:6" ht="20.25" customHeight="1">
      <c r="A4" s="1"/>
      <c r="B4" s="7"/>
      <c r="C4" s="7"/>
      <c r="D4" s="7"/>
      <c r="E4" s="142" t="s">
        <v>0</v>
      </c>
      <c r="F4" s="142"/>
    </row>
    <row r="5" spans="1:6" s="10" customFormat="1" ht="51.75" customHeight="1">
      <c r="A5" s="8" t="s">
        <v>6</v>
      </c>
      <c r="B5" s="39" t="s">
        <v>120</v>
      </c>
      <c r="C5" s="38" t="s">
        <v>118</v>
      </c>
      <c r="D5" s="38" t="s">
        <v>117</v>
      </c>
      <c r="E5" s="9" t="s">
        <v>22</v>
      </c>
      <c r="F5" s="9" t="s">
        <v>2</v>
      </c>
    </row>
    <row r="6" spans="1:6" ht="29.25" customHeight="1">
      <c r="A6" s="11" t="s">
        <v>23</v>
      </c>
      <c r="B6" s="12">
        <v>34916</v>
      </c>
      <c r="C6" s="20">
        <v>34848.36</v>
      </c>
      <c r="D6" s="20">
        <v>32043</v>
      </c>
      <c r="E6" s="14">
        <f aca="true" t="shared" si="0" ref="E6:E27">SUM(C6/B6)*100</f>
        <v>99.80627792416085</v>
      </c>
      <c r="F6" s="14">
        <f>SUM(C6/D6-1)*100</f>
        <v>8.754985488250156</v>
      </c>
    </row>
    <row r="7" spans="1:6" ht="29.25" customHeight="1">
      <c r="A7" s="15" t="s">
        <v>11</v>
      </c>
      <c r="B7" s="12">
        <v>34094.42</v>
      </c>
      <c r="C7" s="20">
        <f>35317.22+1396.45</f>
        <v>36713.67</v>
      </c>
      <c r="D7" s="20">
        <v>32613</v>
      </c>
      <c r="E7" s="14">
        <f t="shared" si="0"/>
        <v>107.68234215452264</v>
      </c>
      <c r="F7" s="14">
        <f aca="true" t="shared" si="1" ref="F7:F26">SUM(C7/D7-1)*100</f>
        <v>12.573728267868646</v>
      </c>
    </row>
    <row r="8" spans="1:6" ht="29.25" customHeight="1">
      <c r="A8" s="16" t="s">
        <v>37</v>
      </c>
      <c r="B8" s="17">
        <v>180042.31</v>
      </c>
      <c r="C8" s="20">
        <v>179032.38</v>
      </c>
      <c r="D8" s="20">
        <v>150088</v>
      </c>
      <c r="E8" s="14">
        <f t="shared" si="0"/>
        <v>99.43905962992811</v>
      </c>
      <c r="F8" s="14">
        <f t="shared" si="1"/>
        <v>19.28493950215873</v>
      </c>
    </row>
    <row r="9" spans="1:6" ht="29.25" customHeight="1">
      <c r="A9" s="18" t="s">
        <v>12</v>
      </c>
      <c r="B9" s="17">
        <v>158927.59</v>
      </c>
      <c r="C9" s="20">
        <v>172803.54</v>
      </c>
      <c r="D9" s="20">
        <v>126394</v>
      </c>
      <c r="E9" s="14">
        <f t="shared" si="0"/>
        <v>108.73098874776872</v>
      </c>
      <c r="F9" s="14">
        <f t="shared" si="1"/>
        <v>36.71815117806225</v>
      </c>
    </row>
    <row r="10" spans="1:6" ht="29.25" customHeight="1">
      <c r="A10" s="56" t="s">
        <v>139</v>
      </c>
      <c r="B10" s="17">
        <v>29132.63</v>
      </c>
      <c r="C10" s="20">
        <v>28772.21</v>
      </c>
      <c r="D10" s="20">
        <v>25118</v>
      </c>
      <c r="E10" s="14">
        <f t="shared" si="0"/>
        <v>98.76283054430719</v>
      </c>
      <c r="F10" s="14">
        <f t="shared" si="1"/>
        <v>14.548172625208998</v>
      </c>
    </row>
    <row r="11" spans="1:6" ht="29.25" customHeight="1">
      <c r="A11" s="18" t="s">
        <v>13</v>
      </c>
      <c r="B11" s="17">
        <v>116313</v>
      </c>
      <c r="C11" s="20">
        <v>116246.37</v>
      </c>
      <c r="D11" s="20">
        <v>100297</v>
      </c>
      <c r="E11" s="14">
        <f t="shared" si="0"/>
        <v>99.94271491578756</v>
      </c>
      <c r="F11" s="14">
        <f t="shared" si="1"/>
        <v>15.902140642292384</v>
      </c>
    </row>
    <row r="12" spans="1:6" ht="29.25" customHeight="1">
      <c r="A12" s="56" t="s">
        <v>140</v>
      </c>
      <c r="B12" s="17">
        <v>31552</v>
      </c>
      <c r="C12" s="20">
        <v>31542.1</v>
      </c>
      <c r="D12" s="20">
        <v>27232</v>
      </c>
      <c r="E12" s="14">
        <f t="shared" si="0"/>
        <v>99.96862322515211</v>
      </c>
      <c r="F12" s="14">
        <f t="shared" si="1"/>
        <v>15.827335487661575</v>
      </c>
    </row>
    <row r="13" spans="1:6" ht="29.25" customHeight="1">
      <c r="A13" s="18" t="s">
        <v>14</v>
      </c>
      <c r="B13" s="17">
        <v>5055</v>
      </c>
      <c r="C13" s="20">
        <v>5067.85</v>
      </c>
      <c r="D13" s="20">
        <v>4356</v>
      </c>
      <c r="E13" s="14">
        <f t="shared" si="0"/>
        <v>100.25420375865481</v>
      </c>
      <c r="F13" s="14">
        <f t="shared" si="1"/>
        <v>16.34182736455465</v>
      </c>
    </row>
    <row r="14" spans="1:6" ht="29.25" customHeight="1">
      <c r="A14" s="18" t="s">
        <v>18</v>
      </c>
      <c r="B14" s="17">
        <v>236358</v>
      </c>
      <c r="C14" s="17">
        <v>245027.34</v>
      </c>
      <c r="D14" s="17">
        <v>230645</v>
      </c>
      <c r="E14" s="14">
        <f t="shared" si="0"/>
        <v>103.66788515726144</v>
      </c>
      <c r="F14" s="14">
        <f t="shared" si="1"/>
        <v>6.235704220772176</v>
      </c>
    </row>
    <row r="15" spans="1:6" ht="29.25" customHeight="1">
      <c r="A15" s="18" t="s">
        <v>19</v>
      </c>
      <c r="B15" s="17">
        <v>20584.05</v>
      </c>
      <c r="C15" s="20">
        <v>9402.43</v>
      </c>
      <c r="D15" s="20">
        <v>20355</v>
      </c>
      <c r="E15" s="14">
        <f t="shared" si="0"/>
        <v>45.67823144619256</v>
      </c>
      <c r="F15" s="14">
        <f t="shared" si="1"/>
        <v>-53.80776222058462</v>
      </c>
    </row>
    <row r="16" spans="1:6" ht="29.25" customHeight="1">
      <c r="A16" s="56" t="s">
        <v>141</v>
      </c>
      <c r="B16" s="17">
        <f>67753+3700</f>
        <v>71453</v>
      </c>
      <c r="C16" s="20">
        <f>55682.23+3700+658.43</f>
        <v>60040.66</v>
      </c>
      <c r="D16" s="20">
        <f>54880+3628</f>
        <v>58508</v>
      </c>
      <c r="E16" s="14">
        <f t="shared" si="0"/>
        <v>84.02818636026478</v>
      </c>
      <c r="F16" s="14">
        <f t="shared" si="1"/>
        <v>2.619573391672936</v>
      </c>
    </row>
    <row r="17" spans="1:6" ht="29.25" customHeight="1">
      <c r="A17" s="57" t="s">
        <v>142</v>
      </c>
      <c r="B17" s="17">
        <f>7649</f>
        <v>7649</v>
      </c>
      <c r="C17" s="20">
        <v>14808</v>
      </c>
      <c r="D17" s="20">
        <v>7378</v>
      </c>
      <c r="E17" s="14">
        <f t="shared" si="0"/>
        <v>193.59393384756177</v>
      </c>
      <c r="F17" s="14">
        <f t="shared" si="1"/>
        <v>100.70479804825156</v>
      </c>
    </row>
    <row r="18" spans="1:6" ht="29.25" customHeight="1">
      <c r="A18" s="57" t="s">
        <v>143</v>
      </c>
      <c r="B18" s="17">
        <v>1816.85</v>
      </c>
      <c r="C18" s="20">
        <v>2006.54</v>
      </c>
      <c r="D18" s="20">
        <v>1898</v>
      </c>
      <c r="E18" s="14">
        <f t="shared" si="0"/>
        <v>110.44059773784298</v>
      </c>
      <c r="F18" s="14">
        <f t="shared" si="1"/>
        <v>5.718651211801884</v>
      </c>
    </row>
    <row r="19" spans="1:6" ht="29.25" customHeight="1">
      <c r="A19" s="54" t="s">
        <v>131</v>
      </c>
      <c r="B19" s="17">
        <v>12182</v>
      </c>
      <c r="C19" s="20">
        <v>14336.71</v>
      </c>
      <c r="D19" s="20">
        <v>12034</v>
      </c>
      <c r="E19" s="14">
        <f t="shared" si="0"/>
        <v>117.6876539156132</v>
      </c>
      <c r="F19" s="14">
        <f t="shared" si="1"/>
        <v>19.135034070134616</v>
      </c>
    </row>
    <row r="20" spans="1:6" ht="29.25" customHeight="1">
      <c r="A20" s="54" t="s">
        <v>132</v>
      </c>
      <c r="B20" s="17">
        <v>10000</v>
      </c>
      <c r="C20" s="20"/>
      <c r="D20" s="20"/>
      <c r="E20" s="14"/>
      <c r="F20" s="14"/>
    </row>
    <row r="21" spans="1:6" ht="29.25" customHeight="1">
      <c r="A21" s="53" t="s">
        <v>133</v>
      </c>
      <c r="B21" s="17">
        <v>6924</v>
      </c>
      <c r="C21" s="20">
        <v>4461.13</v>
      </c>
      <c r="D21" s="20">
        <v>3784</v>
      </c>
      <c r="E21" s="14">
        <f t="shared" si="0"/>
        <v>64.42995378393992</v>
      </c>
      <c r="F21" s="14">
        <f t="shared" si="1"/>
        <v>17.89455602536998</v>
      </c>
    </row>
    <row r="22" spans="1:6" ht="29.25" customHeight="1">
      <c r="A22" s="53" t="s">
        <v>134</v>
      </c>
      <c r="B22" s="17">
        <v>17850</v>
      </c>
      <c r="C22" s="20">
        <v>17848.66</v>
      </c>
      <c r="D22" s="20">
        <v>9143</v>
      </c>
      <c r="E22" s="14">
        <f t="shared" si="0"/>
        <v>99.99249299719888</v>
      </c>
      <c r="F22" s="14">
        <f t="shared" si="1"/>
        <v>95.21666848955486</v>
      </c>
    </row>
    <row r="23" spans="1:6" ht="29.25" customHeight="1">
      <c r="A23" s="53" t="s">
        <v>135</v>
      </c>
      <c r="B23" s="17">
        <v>150</v>
      </c>
      <c r="C23" s="20">
        <v>37</v>
      </c>
      <c r="D23" s="20">
        <v>209</v>
      </c>
      <c r="E23" s="14">
        <f t="shared" si="0"/>
        <v>24.666666666666668</v>
      </c>
      <c r="F23" s="14">
        <f t="shared" si="1"/>
        <v>-82.29665071770334</v>
      </c>
    </row>
    <row r="24" spans="1:6" ht="29.25" customHeight="1">
      <c r="A24" s="19" t="s">
        <v>10</v>
      </c>
      <c r="B24" s="17">
        <f>SUM(B6:B23)</f>
        <v>974999.85</v>
      </c>
      <c r="C24" s="20">
        <f>SUM(C6:C23)</f>
        <v>972994.9500000001</v>
      </c>
      <c r="D24" s="20">
        <f>SUM(D6:D23)</f>
        <v>842095</v>
      </c>
      <c r="E24" s="14">
        <f t="shared" si="0"/>
        <v>99.79436919913374</v>
      </c>
      <c r="F24" s="14">
        <f t="shared" si="1"/>
        <v>15.544558511806873</v>
      </c>
    </row>
    <row r="25" spans="1:6" ht="29.25" customHeight="1">
      <c r="A25" s="19" t="s">
        <v>34</v>
      </c>
      <c r="B25" s="17"/>
      <c r="C25" s="6"/>
      <c r="D25" s="20">
        <v>200000</v>
      </c>
      <c r="E25" s="14"/>
      <c r="F25" s="14">
        <f t="shared" si="1"/>
        <v>-100</v>
      </c>
    </row>
    <row r="26" spans="1:6" ht="29.25" customHeight="1">
      <c r="A26" s="117" t="s">
        <v>695</v>
      </c>
      <c r="B26" s="17">
        <v>75000</v>
      </c>
      <c r="C26" s="20">
        <v>94159.31</v>
      </c>
      <c r="D26" s="20">
        <v>92764</v>
      </c>
      <c r="E26" s="14">
        <f t="shared" si="0"/>
        <v>125.54574666666667</v>
      </c>
      <c r="F26" s="14">
        <f t="shared" si="1"/>
        <v>1.5041503169332948</v>
      </c>
    </row>
    <row r="27" spans="1:6" ht="29.25" customHeight="1">
      <c r="A27" s="19" t="s">
        <v>20</v>
      </c>
      <c r="B27" s="17">
        <f>SUM(B24:B26)</f>
        <v>1049999.85</v>
      </c>
      <c r="C27" s="17">
        <f>SUM(C24:C26)</f>
        <v>1067154.26</v>
      </c>
      <c r="D27" s="17">
        <f>SUM(D24:D26)</f>
        <v>1134859</v>
      </c>
      <c r="E27" s="14">
        <f t="shared" si="0"/>
        <v>101.63375356672668</v>
      </c>
      <c r="F27" s="14">
        <f>SUM(C27/D27-1)*100</f>
        <v>-5.965916470680499</v>
      </c>
    </row>
    <row r="28" spans="1:6" ht="42.75" customHeight="1">
      <c r="A28" s="143" t="s">
        <v>680</v>
      </c>
      <c r="B28" s="143"/>
      <c r="C28" s="143"/>
      <c r="D28" s="143"/>
      <c r="E28" s="143"/>
      <c r="F28" s="143"/>
    </row>
  </sheetData>
  <sheetProtection/>
  <mergeCells count="3">
    <mergeCell ref="A2:F3"/>
    <mergeCell ref="E4:F4"/>
    <mergeCell ref="A28:F2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3"/>
  <ignoredErrors>
    <ignoredError sqref="C24" unlocked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6"/>
  <sheetViews>
    <sheetView zoomScalePageLayoutView="0" workbookViewId="0" topLeftCell="A67">
      <selection activeCell="D19" sqref="D19"/>
    </sheetView>
  </sheetViews>
  <sheetFormatPr defaultColWidth="9.00390625" defaultRowHeight="14.25"/>
  <cols>
    <col min="1" max="1" width="40.25390625" style="49" customWidth="1"/>
    <col min="2" max="2" width="14.875" style="1" customWidth="1"/>
    <col min="3" max="3" width="14.875" style="2" customWidth="1"/>
    <col min="4" max="16384" width="9.00390625" style="1" customWidth="1"/>
  </cols>
  <sheetData>
    <row r="1" spans="1:3" ht="18" customHeight="1">
      <c r="A1" s="144" t="s">
        <v>678</v>
      </c>
      <c r="B1" s="145"/>
      <c r="C1" s="145"/>
    </row>
    <row r="2" spans="1:3" ht="28.5" customHeight="1">
      <c r="A2" s="146" t="s">
        <v>366</v>
      </c>
      <c r="B2" s="147"/>
      <c r="C2" s="147"/>
    </row>
    <row r="3" spans="1:3" ht="21" customHeight="1">
      <c r="A3" s="48"/>
      <c r="B3" s="72"/>
      <c r="C3" s="72" t="s">
        <v>8</v>
      </c>
    </row>
    <row r="4" spans="1:3" ht="35.25" customHeight="1">
      <c r="A4" s="73" t="s">
        <v>50</v>
      </c>
      <c r="B4" s="73" t="s">
        <v>51</v>
      </c>
      <c r="C4" s="74" t="s">
        <v>57</v>
      </c>
    </row>
    <row r="5" spans="1:3" ht="18" customHeight="1">
      <c r="A5" s="78" t="s">
        <v>367</v>
      </c>
      <c r="B5" s="79">
        <v>35268</v>
      </c>
      <c r="C5" s="80">
        <f>C6+C11+C16+C24+C27+C30+C34+C39+C42+C47+C54+C56+C60+C63+C66+C69+C72</f>
        <v>419.72</v>
      </c>
    </row>
    <row r="6" spans="1:3" ht="18" customHeight="1">
      <c r="A6" s="78" t="s">
        <v>368</v>
      </c>
      <c r="B6" s="79">
        <v>1463</v>
      </c>
      <c r="C6" s="81"/>
    </row>
    <row r="7" spans="1:3" ht="18" customHeight="1">
      <c r="A7" s="78" t="s">
        <v>369</v>
      </c>
      <c r="B7" s="79">
        <v>1368</v>
      </c>
      <c r="C7" s="80"/>
    </row>
    <row r="8" spans="1:3" ht="18" customHeight="1">
      <c r="A8" s="78" t="s">
        <v>370</v>
      </c>
      <c r="B8" s="79">
        <v>50</v>
      </c>
      <c r="C8" s="80"/>
    </row>
    <row r="9" spans="1:3" ht="18" customHeight="1">
      <c r="A9" s="78" t="s">
        <v>371</v>
      </c>
      <c r="B9" s="79">
        <v>40</v>
      </c>
      <c r="C9" s="80"/>
    </row>
    <row r="10" spans="1:3" ht="18" customHeight="1">
      <c r="A10" s="78" t="s">
        <v>372</v>
      </c>
      <c r="B10" s="79">
        <v>5</v>
      </c>
      <c r="C10" s="80"/>
    </row>
    <row r="11" spans="1:3" ht="18" customHeight="1">
      <c r="A11" s="78" t="s">
        <v>373</v>
      </c>
      <c r="B11" s="79">
        <v>975</v>
      </c>
      <c r="C11" s="80"/>
    </row>
    <row r="12" spans="1:3" ht="18" customHeight="1">
      <c r="A12" s="78" t="s">
        <v>369</v>
      </c>
      <c r="B12" s="79">
        <v>847</v>
      </c>
      <c r="C12" s="80"/>
    </row>
    <row r="13" spans="1:3" ht="18" customHeight="1">
      <c r="A13" s="78" t="s">
        <v>374</v>
      </c>
      <c r="B13" s="79">
        <v>43</v>
      </c>
      <c r="C13" s="80"/>
    </row>
    <row r="14" spans="1:3" ht="18" customHeight="1">
      <c r="A14" s="78" t="s">
        <v>375</v>
      </c>
      <c r="B14" s="79">
        <v>56</v>
      </c>
      <c r="C14" s="80"/>
    </row>
    <row r="15" spans="1:3" ht="18" customHeight="1">
      <c r="A15" s="78" t="s">
        <v>376</v>
      </c>
      <c r="B15" s="79">
        <v>29</v>
      </c>
      <c r="C15" s="80"/>
    </row>
    <row r="16" spans="1:3" ht="18" customHeight="1">
      <c r="A16" s="78" t="s">
        <v>377</v>
      </c>
      <c r="B16" s="79">
        <v>11266</v>
      </c>
      <c r="C16" s="80"/>
    </row>
    <row r="17" spans="1:3" ht="18" customHeight="1">
      <c r="A17" s="78" t="s">
        <v>369</v>
      </c>
      <c r="B17" s="79">
        <v>2650</v>
      </c>
      <c r="C17" s="80"/>
    </row>
    <row r="18" spans="1:3" ht="18" customHeight="1">
      <c r="A18" s="78" t="s">
        <v>374</v>
      </c>
      <c r="B18" s="79">
        <v>1899</v>
      </c>
      <c r="C18" s="80"/>
    </row>
    <row r="19" spans="1:3" ht="18" customHeight="1">
      <c r="A19" s="78" t="s">
        <v>378</v>
      </c>
      <c r="B19" s="79">
        <v>3269</v>
      </c>
      <c r="C19" s="80"/>
    </row>
    <row r="20" spans="1:3" ht="18" customHeight="1">
      <c r="A20" s="78" t="s">
        <v>379</v>
      </c>
      <c r="B20" s="79">
        <v>544</v>
      </c>
      <c r="C20" s="80"/>
    </row>
    <row r="21" spans="1:3" ht="18" customHeight="1">
      <c r="A21" s="78" t="s">
        <v>380</v>
      </c>
      <c r="B21" s="79">
        <v>275</v>
      </c>
      <c r="C21" s="80"/>
    </row>
    <row r="22" spans="1:3" ht="18" customHeight="1">
      <c r="A22" s="78" t="s">
        <v>381</v>
      </c>
      <c r="B22" s="79">
        <v>1591</v>
      </c>
      <c r="C22" s="80"/>
    </row>
    <row r="23" spans="1:3" ht="18" customHeight="1">
      <c r="A23" s="78" t="s">
        <v>382</v>
      </c>
      <c r="B23" s="79">
        <v>1038</v>
      </c>
      <c r="C23" s="80"/>
    </row>
    <row r="24" spans="1:3" ht="18" customHeight="1">
      <c r="A24" s="78" t="s">
        <v>383</v>
      </c>
      <c r="B24" s="79">
        <v>1821</v>
      </c>
      <c r="C24" s="79"/>
    </row>
    <row r="25" spans="1:3" ht="18" customHeight="1">
      <c r="A25" s="78" t="s">
        <v>369</v>
      </c>
      <c r="B25" s="79">
        <v>1529</v>
      </c>
      <c r="C25" s="80"/>
    </row>
    <row r="26" spans="1:3" ht="18" customHeight="1">
      <c r="A26" s="78" t="s">
        <v>374</v>
      </c>
      <c r="B26" s="79">
        <v>292</v>
      </c>
      <c r="C26" s="80"/>
    </row>
    <row r="27" spans="1:3" ht="18" customHeight="1">
      <c r="A27" s="78" t="s">
        <v>384</v>
      </c>
      <c r="B27" s="79">
        <v>331</v>
      </c>
      <c r="C27" s="79"/>
    </row>
    <row r="28" spans="1:3" ht="18" customHeight="1">
      <c r="A28" s="78" t="s">
        <v>385</v>
      </c>
      <c r="B28" s="79">
        <v>252</v>
      </c>
      <c r="C28" s="80"/>
    </row>
    <row r="29" spans="1:3" ht="18" customHeight="1">
      <c r="A29" s="78" t="s">
        <v>386</v>
      </c>
      <c r="B29" s="79">
        <v>79</v>
      </c>
      <c r="C29" s="80"/>
    </row>
    <row r="30" spans="1:3" ht="18" customHeight="1">
      <c r="A30" s="78" t="s">
        <v>387</v>
      </c>
      <c r="B30" s="79">
        <v>2671</v>
      </c>
      <c r="C30" s="79">
        <f>SUM(C31:C33)</f>
        <v>403.93</v>
      </c>
    </row>
    <row r="31" spans="1:3" ht="18" customHeight="1">
      <c r="A31" s="78" t="s">
        <v>369</v>
      </c>
      <c r="B31" s="79">
        <v>1298</v>
      </c>
      <c r="C31" s="80"/>
    </row>
    <row r="32" spans="1:3" ht="18" customHeight="1">
      <c r="A32" s="78" t="s">
        <v>374</v>
      </c>
      <c r="B32" s="79">
        <v>969</v>
      </c>
      <c r="C32" s="80"/>
    </row>
    <row r="33" spans="1:3" ht="18" customHeight="1">
      <c r="A33" s="78" t="s">
        <v>388</v>
      </c>
      <c r="B33" s="79">
        <v>404</v>
      </c>
      <c r="C33" s="80">
        <v>403.93</v>
      </c>
    </row>
    <row r="34" spans="1:3" ht="18" customHeight="1">
      <c r="A34" s="78" t="s">
        <v>389</v>
      </c>
      <c r="B34" s="79">
        <v>1548</v>
      </c>
      <c r="C34" s="80"/>
    </row>
    <row r="35" spans="1:3" ht="18" customHeight="1">
      <c r="A35" s="78" t="s">
        <v>369</v>
      </c>
      <c r="B35" s="79">
        <v>609</v>
      </c>
      <c r="C35" s="80"/>
    </row>
    <row r="36" spans="1:3" ht="18" customHeight="1">
      <c r="A36" s="78" t="s">
        <v>374</v>
      </c>
      <c r="B36" s="79">
        <v>9</v>
      </c>
      <c r="C36" s="80"/>
    </row>
    <row r="37" spans="1:3" ht="18" customHeight="1">
      <c r="A37" s="78" t="s">
        <v>390</v>
      </c>
      <c r="B37" s="79">
        <v>900</v>
      </c>
      <c r="C37" s="80"/>
    </row>
    <row r="38" spans="1:3" ht="18" customHeight="1">
      <c r="A38" s="78" t="s">
        <v>391</v>
      </c>
      <c r="B38" s="79">
        <v>30</v>
      </c>
      <c r="C38" s="80"/>
    </row>
    <row r="39" spans="1:3" ht="18" customHeight="1">
      <c r="A39" s="78" t="s">
        <v>392</v>
      </c>
      <c r="B39" s="79">
        <v>1354</v>
      </c>
      <c r="C39" s="80"/>
    </row>
    <row r="40" spans="1:3" ht="18" customHeight="1">
      <c r="A40" s="78" t="s">
        <v>369</v>
      </c>
      <c r="B40" s="79">
        <v>1246</v>
      </c>
      <c r="C40" s="80"/>
    </row>
    <row r="41" spans="1:3" ht="18" customHeight="1">
      <c r="A41" s="78" t="s">
        <v>374</v>
      </c>
      <c r="B41" s="79">
        <v>108</v>
      </c>
      <c r="C41" s="80"/>
    </row>
    <row r="42" spans="1:3" ht="18" customHeight="1">
      <c r="A42" s="78" t="s">
        <v>393</v>
      </c>
      <c r="B42" s="79">
        <v>1256</v>
      </c>
      <c r="C42" s="80"/>
    </row>
    <row r="43" spans="1:3" ht="18" customHeight="1">
      <c r="A43" s="78" t="s">
        <v>369</v>
      </c>
      <c r="B43" s="79">
        <v>1072</v>
      </c>
      <c r="C43" s="80"/>
    </row>
    <row r="44" spans="1:3" ht="18" customHeight="1">
      <c r="A44" s="78" t="s">
        <v>374</v>
      </c>
      <c r="B44" s="79">
        <v>50</v>
      </c>
      <c r="C44" s="80"/>
    </row>
    <row r="45" spans="1:3" ht="18" customHeight="1">
      <c r="A45" s="78" t="s">
        <v>394</v>
      </c>
      <c r="B45" s="79">
        <v>115</v>
      </c>
      <c r="C45" s="80"/>
    </row>
    <row r="46" spans="1:3" ht="18" customHeight="1">
      <c r="A46" s="78" t="s">
        <v>395</v>
      </c>
      <c r="B46" s="79">
        <v>19</v>
      </c>
      <c r="C46" s="80"/>
    </row>
    <row r="47" spans="1:3" ht="18" customHeight="1">
      <c r="A47" s="78" t="s">
        <v>396</v>
      </c>
      <c r="B47" s="79">
        <v>4070</v>
      </c>
      <c r="C47" s="80">
        <f>SUM(C48:C53)</f>
        <v>15.79</v>
      </c>
    </row>
    <row r="48" spans="1:3" ht="18" customHeight="1">
      <c r="A48" s="78" t="s">
        <v>369</v>
      </c>
      <c r="B48" s="79">
        <v>3267</v>
      </c>
      <c r="C48" s="80"/>
    </row>
    <row r="49" spans="1:3" ht="18" customHeight="1">
      <c r="A49" s="78" t="s">
        <v>374</v>
      </c>
      <c r="B49" s="79">
        <v>86</v>
      </c>
      <c r="C49" s="80"/>
    </row>
    <row r="50" spans="1:3" ht="18" customHeight="1">
      <c r="A50" s="78" t="s">
        <v>397</v>
      </c>
      <c r="B50" s="79">
        <v>602</v>
      </c>
      <c r="C50" s="80"/>
    </row>
    <row r="51" spans="1:3" ht="18" customHeight="1">
      <c r="A51" s="78" t="s">
        <v>398</v>
      </c>
      <c r="B51" s="79">
        <v>60</v>
      </c>
      <c r="C51" s="80"/>
    </row>
    <row r="52" spans="1:3" ht="18" customHeight="1">
      <c r="A52" s="78" t="s">
        <v>399</v>
      </c>
      <c r="B52" s="79">
        <v>39</v>
      </c>
      <c r="C52" s="80"/>
    </row>
    <row r="53" spans="1:3" ht="18" customHeight="1">
      <c r="A53" s="78" t="s">
        <v>400</v>
      </c>
      <c r="B53" s="79">
        <v>16</v>
      </c>
      <c r="C53" s="80">
        <v>15.79</v>
      </c>
    </row>
    <row r="54" spans="1:3" ht="18" customHeight="1">
      <c r="A54" s="78" t="s">
        <v>401</v>
      </c>
      <c r="B54" s="79">
        <v>100</v>
      </c>
      <c r="C54" s="80"/>
    </row>
    <row r="55" spans="1:3" ht="18" customHeight="1">
      <c r="A55" s="78" t="s">
        <v>402</v>
      </c>
      <c r="B55" s="79">
        <v>100</v>
      </c>
      <c r="C55" s="80"/>
    </row>
    <row r="56" spans="1:3" ht="18" customHeight="1">
      <c r="A56" s="78" t="s">
        <v>403</v>
      </c>
      <c r="B56" s="79">
        <v>417</v>
      </c>
      <c r="C56" s="80"/>
    </row>
    <row r="57" spans="1:3" ht="18" customHeight="1">
      <c r="A57" s="78" t="s">
        <v>369</v>
      </c>
      <c r="B57" s="79">
        <v>352</v>
      </c>
      <c r="C57" s="80"/>
    </row>
    <row r="58" spans="1:3" ht="18" customHeight="1">
      <c r="A58" s="78" t="s">
        <v>374</v>
      </c>
      <c r="B58" s="79">
        <v>6</v>
      </c>
      <c r="C58" s="80"/>
    </row>
    <row r="59" spans="1:3" ht="18" customHeight="1">
      <c r="A59" s="78" t="s">
        <v>404</v>
      </c>
      <c r="B59" s="79">
        <v>59</v>
      </c>
      <c r="C59" s="80"/>
    </row>
    <row r="60" spans="1:3" ht="18" customHeight="1">
      <c r="A60" s="78" t="s">
        <v>405</v>
      </c>
      <c r="B60" s="79">
        <v>792</v>
      </c>
      <c r="C60" s="80"/>
    </row>
    <row r="61" spans="1:3" ht="18" customHeight="1">
      <c r="A61" s="78" t="s">
        <v>369</v>
      </c>
      <c r="B61" s="79">
        <v>613</v>
      </c>
      <c r="C61" s="80"/>
    </row>
    <row r="62" spans="1:3" ht="18" customHeight="1">
      <c r="A62" s="78" t="s">
        <v>374</v>
      </c>
      <c r="B62" s="79">
        <v>179</v>
      </c>
      <c r="C62" s="80"/>
    </row>
    <row r="63" spans="1:3" ht="18" customHeight="1">
      <c r="A63" s="78" t="s">
        <v>406</v>
      </c>
      <c r="B63" s="79">
        <v>4026</v>
      </c>
      <c r="C63" s="80"/>
    </row>
    <row r="64" spans="1:3" ht="18" customHeight="1">
      <c r="A64" s="78" t="s">
        <v>369</v>
      </c>
      <c r="B64" s="79">
        <v>952</v>
      </c>
      <c r="C64" s="80"/>
    </row>
    <row r="65" spans="1:3" ht="18" customHeight="1">
      <c r="A65" s="78" t="s">
        <v>374</v>
      </c>
      <c r="B65" s="79">
        <v>3074</v>
      </c>
      <c r="C65" s="80"/>
    </row>
    <row r="66" spans="1:3" ht="18" customHeight="1">
      <c r="A66" s="78" t="s">
        <v>407</v>
      </c>
      <c r="B66" s="79">
        <v>2127</v>
      </c>
      <c r="C66" s="80"/>
    </row>
    <row r="67" spans="1:3" ht="18" customHeight="1">
      <c r="A67" s="78" t="s">
        <v>369</v>
      </c>
      <c r="B67" s="79">
        <v>398</v>
      </c>
      <c r="C67" s="80"/>
    </row>
    <row r="68" spans="1:3" ht="18" customHeight="1">
      <c r="A68" s="78" t="s">
        <v>374</v>
      </c>
      <c r="B68" s="79">
        <v>1729</v>
      </c>
      <c r="C68" s="80"/>
    </row>
    <row r="69" spans="1:3" ht="18" customHeight="1">
      <c r="A69" s="78" t="s">
        <v>408</v>
      </c>
      <c r="B69" s="79">
        <v>519</v>
      </c>
      <c r="C69" s="80"/>
    </row>
    <row r="70" spans="1:3" ht="18" customHeight="1">
      <c r="A70" s="78" t="s">
        <v>369</v>
      </c>
      <c r="B70" s="79">
        <v>473</v>
      </c>
      <c r="C70" s="80"/>
    </row>
    <row r="71" spans="1:3" ht="18" customHeight="1">
      <c r="A71" s="78" t="s">
        <v>374</v>
      </c>
      <c r="B71" s="79">
        <v>46</v>
      </c>
      <c r="C71" s="80"/>
    </row>
    <row r="72" spans="1:3" ht="18" customHeight="1">
      <c r="A72" s="78" t="s">
        <v>409</v>
      </c>
      <c r="B72" s="79">
        <v>532</v>
      </c>
      <c r="C72" s="80"/>
    </row>
    <row r="73" spans="1:3" ht="18" customHeight="1">
      <c r="A73" s="78" t="s">
        <v>369</v>
      </c>
      <c r="B73" s="79">
        <v>378</v>
      </c>
      <c r="C73" s="80"/>
    </row>
    <row r="74" spans="1:3" ht="18" customHeight="1">
      <c r="A74" s="78" t="s">
        <v>374</v>
      </c>
      <c r="B74" s="79">
        <v>153</v>
      </c>
      <c r="C74" s="80"/>
    </row>
    <row r="75" spans="1:3" ht="18" customHeight="1">
      <c r="A75" s="78" t="s">
        <v>410</v>
      </c>
      <c r="B75" s="79">
        <v>1</v>
      </c>
      <c r="C75" s="80"/>
    </row>
    <row r="76" spans="1:3" ht="18" customHeight="1">
      <c r="A76" s="78" t="s">
        <v>411</v>
      </c>
      <c r="B76" s="79">
        <v>37790</v>
      </c>
      <c r="C76" s="80">
        <f>C77+C79+C90+C94+C100+C105</f>
        <v>1076.77</v>
      </c>
    </row>
    <row r="77" spans="1:3" ht="18" customHeight="1">
      <c r="A77" s="78" t="s">
        <v>412</v>
      </c>
      <c r="B77" s="79">
        <v>1512</v>
      </c>
      <c r="C77" s="80"/>
    </row>
    <row r="78" spans="1:3" ht="18" customHeight="1">
      <c r="A78" s="78" t="s">
        <v>413</v>
      </c>
      <c r="B78" s="79">
        <v>1512</v>
      </c>
      <c r="C78" s="80"/>
    </row>
    <row r="79" spans="1:3" ht="18" customHeight="1">
      <c r="A79" s="78" t="s">
        <v>414</v>
      </c>
      <c r="B79" s="79">
        <v>21258</v>
      </c>
      <c r="C79" s="80">
        <f>SUM(C80:C89)</f>
        <v>254.2</v>
      </c>
    </row>
    <row r="80" spans="1:3" ht="18" customHeight="1">
      <c r="A80" s="78" t="s">
        <v>369</v>
      </c>
      <c r="B80" s="79">
        <v>9824</v>
      </c>
      <c r="C80" s="80"/>
    </row>
    <row r="81" spans="1:3" ht="18" customHeight="1">
      <c r="A81" s="78" t="s">
        <v>374</v>
      </c>
      <c r="B81" s="79">
        <v>3783</v>
      </c>
      <c r="C81" s="80">
        <f>235.2+19</f>
        <v>254.2</v>
      </c>
    </row>
    <row r="82" spans="1:3" ht="18" customHeight="1">
      <c r="A82" s="78" t="s">
        <v>415</v>
      </c>
      <c r="B82" s="79">
        <v>2025</v>
      </c>
      <c r="C82" s="80"/>
    </row>
    <row r="83" spans="1:3" ht="18" customHeight="1">
      <c r="A83" s="78" t="s">
        <v>416</v>
      </c>
      <c r="B83" s="79">
        <v>98</v>
      </c>
      <c r="C83" s="80"/>
    </row>
    <row r="84" spans="1:3" ht="18" customHeight="1">
      <c r="A84" s="78" t="s">
        <v>417</v>
      </c>
      <c r="B84" s="79">
        <v>77</v>
      </c>
      <c r="C84" s="80"/>
    </row>
    <row r="85" spans="1:3" ht="18" customHeight="1">
      <c r="A85" s="78" t="s">
        <v>418</v>
      </c>
      <c r="B85" s="79">
        <v>10</v>
      </c>
      <c r="C85" s="80"/>
    </row>
    <row r="86" spans="1:3" ht="18" customHeight="1">
      <c r="A86" s="78" t="s">
        <v>419</v>
      </c>
      <c r="B86" s="79">
        <v>339</v>
      </c>
      <c r="C86" s="80"/>
    </row>
    <row r="87" spans="1:3" ht="18" customHeight="1">
      <c r="A87" s="78" t="s">
        <v>420</v>
      </c>
      <c r="B87" s="79">
        <v>700</v>
      </c>
      <c r="C87" s="80"/>
    </row>
    <row r="88" spans="1:3" ht="18" customHeight="1">
      <c r="A88" s="78" t="s">
        <v>381</v>
      </c>
      <c r="B88" s="79">
        <v>3223</v>
      </c>
      <c r="C88" s="80"/>
    </row>
    <row r="89" spans="1:3" ht="18" customHeight="1">
      <c r="A89" s="78" t="s">
        <v>421</v>
      </c>
      <c r="B89" s="79">
        <v>1179</v>
      </c>
      <c r="C89" s="80"/>
    </row>
    <row r="90" spans="1:3" ht="18" customHeight="1">
      <c r="A90" s="78" t="s">
        <v>422</v>
      </c>
      <c r="B90" s="79">
        <v>1862</v>
      </c>
      <c r="C90" s="80">
        <f>SUM(C91:C93)</f>
        <v>129.72</v>
      </c>
    </row>
    <row r="91" spans="1:3" ht="18" customHeight="1">
      <c r="A91" s="78" t="s">
        <v>369</v>
      </c>
      <c r="B91" s="79">
        <v>1338</v>
      </c>
      <c r="C91" s="80"/>
    </row>
    <row r="92" spans="1:3" ht="18" customHeight="1">
      <c r="A92" s="78" t="s">
        <v>374</v>
      </c>
      <c r="B92" s="79">
        <v>292</v>
      </c>
      <c r="C92" s="80">
        <f>81.49+48.23</f>
        <v>129.72</v>
      </c>
    </row>
    <row r="93" spans="1:3" ht="18" customHeight="1">
      <c r="A93" s="78" t="s">
        <v>423</v>
      </c>
      <c r="B93" s="79">
        <v>232</v>
      </c>
      <c r="C93" s="80"/>
    </row>
    <row r="94" spans="1:3" ht="18" customHeight="1">
      <c r="A94" s="78" t="s">
        <v>424</v>
      </c>
      <c r="B94" s="79">
        <v>4159</v>
      </c>
      <c r="C94" s="80">
        <f>SUM(C95:C99)</f>
        <v>647.09</v>
      </c>
    </row>
    <row r="95" spans="1:3" ht="18" customHeight="1">
      <c r="A95" s="78" t="s">
        <v>369</v>
      </c>
      <c r="B95" s="79">
        <v>2476</v>
      </c>
      <c r="C95" s="80"/>
    </row>
    <row r="96" spans="1:3" ht="18" customHeight="1">
      <c r="A96" s="78" t="s">
        <v>374</v>
      </c>
      <c r="B96" s="79">
        <v>122</v>
      </c>
      <c r="C96" s="80"/>
    </row>
    <row r="97" spans="1:3" ht="18" customHeight="1">
      <c r="A97" s="78" t="s">
        <v>425</v>
      </c>
      <c r="B97" s="79">
        <v>1238</v>
      </c>
      <c r="C97" s="80">
        <v>354.35</v>
      </c>
    </row>
    <row r="98" spans="1:3" ht="18" customHeight="1">
      <c r="A98" s="78" t="s">
        <v>426</v>
      </c>
      <c r="B98" s="79">
        <v>30</v>
      </c>
      <c r="C98" s="80"/>
    </row>
    <row r="99" spans="1:3" ht="18" customHeight="1">
      <c r="A99" s="78" t="s">
        <v>427</v>
      </c>
      <c r="B99" s="79">
        <v>293</v>
      </c>
      <c r="C99" s="80">
        <f>286.02+6.72</f>
        <v>292.74</v>
      </c>
    </row>
    <row r="100" spans="1:3" ht="18" customHeight="1">
      <c r="A100" s="78" t="s">
        <v>428</v>
      </c>
      <c r="B100" s="79">
        <v>952</v>
      </c>
      <c r="C100" s="80">
        <f>SUM(C101:C104)</f>
        <v>45.76</v>
      </c>
    </row>
    <row r="101" spans="1:3" ht="18" customHeight="1">
      <c r="A101" s="78" t="s">
        <v>369</v>
      </c>
      <c r="B101" s="79">
        <v>697</v>
      </c>
      <c r="C101" s="80"/>
    </row>
    <row r="102" spans="1:3" ht="18" customHeight="1">
      <c r="A102" s="78" t="s">
        <v>374</v>
      </c>
      <c r="B102" s="79">
        <v>178</v>
      </c>
      <c r="C102" s="80">
        <f>20.52+19.24</f>
        <v>39.76</v>
      </c>
    </row>
    <row r="103" spans="1:3" ht="18" customHeight="1">
      <c r="A103" s="78" t="s">
        <v>429</v>
      </c>
      <c r="B103" s="79">
        <v>52</v>
      </c>
      <c r="C103" s="80">
        <v>6</v>
      </c>
    </row>
    <row r="104" spans="1:3" ht="18" customHeight="1">
      <c r="A104" s="78" t="s">
        <v>430</v>
      </c>
      <c r="B104" s="79">
        <v>25</v>
      </c>
      <c r="C104" s="80"/>
    </row>
    <row r="105" spans="1:3" ht="18" customHeight="1">
      <c r="A105" s="78" t="s">
        <v>431</v>
      </c>
      <c r="B105" s="79">
        <v>8047</v>
      </c>
      <c r="C105" s="80"/>
    </row>
    <row r="106" spans="1:3" ht="18" customHeight="1">
      <c r="A106" s="78" t="s">
        <v>432</v>
      </c>
      <c r="B106" s="79">
        <v>5586</v>
      </c>
      <c r="C106" s="80"/>
    </row>
    <row r="107" spans="1:3" ht="18" customHeight="1">
      <c r="A107" s="78" t="s">
        <v>433</v>
      </c>
      <c r="B107" s="79">
        <v>2461</v>
      </c>
      <c r="C107" s="80"/>
    </row>
    <row r="108" spans="1:3" ht="18" customHeight="1">
      <c r="A108" s="78" t="s">
        <v>434</v>
      </c>
      <c r="B108" s="79">
        <v>203066</v>
      </c>
      <c r="C108" s="80">
        <f>C109+C112+C117+C120+C122+C124</f>
        <v>24033.350000000002</v>
      </c>
    </row>
    <row r="109" spans="1:3" ht="18" customHeight="1">
      <c r="A109" s="78" t="s">
        <v>435</v>
      </c>
      <c r="B109" s="79">
        <v>5394</v>
      </c>
      <c r="C109" s="80"/>
    </row>
    <row r="110" spans="1:3" ht="18" customHeight="1">
      <c r="A110" s="78" t="s">
        <v>369</v>
      </c>
      <c r="B110" s="79">
        <v>402</v>
      </c>
      <c r="C110" s="80"/>
    </row>
    <row r="111" spans="1:3" ht="18" customHeight="1">
      <c r="A111" s="78" t="s">
        <v>374</v>
      </c>
      <c r="B111" s="79">
        <v>4992</v>
      </c>
      <c r="C111" s="80"/>
    </row>
    <row r="112" spans="1:3" ht="18" customHeight="1">
      <c r="A112" s="78" t="s">
        <v>436</v>
      </c>
      <c r="B112" s="79">
        <v>150661</v>
      </c>
      <c r="C112" s="80">
        <f>SUM(C113:C116)</f>
        <v>23953.350000000002</v>
      </c>
    </row>
    <row r="113" spans="1:3" ht="18" customHeight="1">
      <c r="A113" s="78" t="s">
        <v>437</v>
      </c>
      <c r="B113" s="79">
        <v>27872</v>
      </c>
      <c r="C113" s="80">
        <v>119.31</v>
      </c>
    </row>
    <row r="114" spans="1:3" ht="18" customHeight="1">
      <c r="A114" s="78" t="s">
        <v>438</v>
      </c>
      <c r="B114" s="79">
        <v>26190</v>
      </c>
      <c r="C114" s="80"/>
    </row>
    <row r="115" spans="1:3" ht="18" customHeight="1">
      <c r="A115" s="78" t="s">
        <v>439</v>
      </c>
      <c r="B115" s="79">
        <v>16200</v>
      </c>
      <c r="C115" s="80"/>
    </row>
    <row r="116" spans="1:3" ht="18" customHeight="1">
      <c r="A116" s="78" t="s">
        <v>440</v>
      </c>
      <c r="B116" s="79">
        <v>80399</v>
      </c>
      <c r="C116" s="80">
        <v>23834.04</v>
      </c>
    </row>
    <row r="117" spans="1:3" ht="18" customHeight="1">
      <c r="A117" s="78" t="s">
        <v>441</v>
      </c>
      <c r="B117" s="79">
        <v>376</v>
      </c>
      <c r="C117" s="80"/>
    </row>
    <row r="118" spans="1:3" ht="18" customHeight="1">
      <c r="A118" s="78" t="s">
        <v>442</v>
      </c>
      <c r="B118" s="79">
        <v>111</v>
      </c>
      <c r="C118" s="80"/>
    </row>
    <row r="119" spans="1:3" ht="18" customHeight="1">
      <c r="A119" s="78" t="s">
        <v>443</v>
      </c>
      <c r="B119" s="79">
        <v>265</v>
      </c>
      <c r="C119" s="80"/>
    </row>
    <row r="120" spans="1:3" ht="18" customHeight="1">
      <c r="A120" s="78" t="s">
        <v>444</v>
      </c>
      <c r="B120" s="79">
        <v>306</v>
      </c>
      <c r="C120" s="80"/>
    </row>
    <row r="121" spans="1:3" ht="18" customHeight="1">
      <c r="A121" s="78" t="s">
        <v>445</v>
      </c>
      <c r="B121" s="79">
        <v>306</v>
      </c>
      <c r="C121" s="80"/>
    </row>
    <row r="122" spans="1:3" ht="18" customHeight="1">
      <c r="A122" s="78" t="s">
        <v>446</v>
      </c>
      <c r="B122" s="79">
        <v>45000</v>
      </c>
      <c r="C122" s="80"/>
    </row>
    <row r="123" spans="1:3" ht="18" customHeight="1">
      <c r="A123" s="78" t="s">
        <v>447</v>
      </c>
      <c r="B123" s="79">
        <v>45000</v>
      </c>
      <c r="C123" s="80"/>
    </row>
    <row r="124" spans="1:3" ht="18" customHeight="1">
      <c r="A124" s="78" t="s">
        <v>448</v>
      </c>
      <c r="B124" s="79">
        <v>1329</v>
      </c>
      <c r="C124" s="80">
        <f>SUM(C125)</f>
        <v>80</v>
      </c>
    </row>
    <row r="125" spans="1:3" ht="18" customHeight="1">
      <c r="A125" s="78" t="s">
        <v>449</v>
      </c>
      <c r="B125" s="79">
        <v>1329</v>
      </c>
      <c r="C125" s="80">
        <v>80</v>
      </c>
    </row>
    <row r="126" spans="1:3" ht="18" customHeight="1">
      <c r="A126" s="78" t="s">
        <v>450</v>
      </c>
      <c r="B126" s="79">
        <v>188709</v>
      </c>
      <c r="C126" s="80">
        <f>C127+C131+C134+C137</f>
        <v>15905.2</v>
      </c>
    </row>
    <row r="127" spans="1:3" ht="18" customHeight="1">
      <c r="A127" s="78" t="s">
        <v>451</v>
      </c>
      <c r="B127" s="79">
        <v>616</v>
      </c>
      <c r="C127" s="80"/>
    </row>
    <row r="128" spans="1:3" ht="18" customHeight="1">
      <c r="A128" s="78" t="s">
        <v>369</v>
      </c>
      <c r="B128" s="79">
        <v>437</v>
      </c>
      <c r="C128" s="80"/>
    </row>
    <row r="129" spans="1:3" ht="18" customHeight="1">
      <c r="A129" s="78" t="s">
        <v>374</v>
      </c>
      <c r="B129" s="79">
        <v>178</v>
      </c>
      <c r="C129" s="80"/>
    </row>
    <row r="130" spans="1:3" ht="18" customHeight="1">
      <c r="A130" s="78" t="s">
        <v>452</v>
      </c>
      <c r="B130" s="79">
        <v>1</v>
      </c>
      <c r="C130" s="80"/>
    </row>
    <row r="131" spans="1:3" ht="18" customHeight="1">
      <c r="A131" s="78" t="s">
        <v>453</v>
      </c>
      <c r="B131" s="79">
        <v>186552</v>
      </c>
      <c r="C131" s="80">
        <f>SUM(C132:C133)</f>
        <v>14552</v>
      </c>
    </row>
    <row r="132" spans="1:3" ht="18" customHeight="1">
      <c r="A132" s="78" t="s">
        <v>454</v>
      </c>
      <c r="B132" s="79">
        <v>13223</v>
      </c>
      <c r="C132" s="80">
        <f>11691.54+1531.66</f>
        <v>13223.2</v>
      </c>
    </row>
    <row r="133" spans="1:3" ht="18" customHeight="1">
      <c r="A133" s="78" t="s">
        <v>455</v>
      </c>
      <c r="B133" s="79">
        <v>173329</v>
      </c>
      <c r="C133" s="80">
        <f>5.6+1323.2</f>
        <v>1328.8</v>
      </c>
    </row>
    <row r="134" spans="1:3" ht="18" customHeight="1">
      <c r="A134" s="78" t="s">
        <v>456</v>
      </c>
      <c r="B134" s="79">
        <v>292</v>
      </c>
      <c r="C134" s="80">
        <f>SUM(C135:C136)</f>
        <v>104</v>
      </c>
    </row>
    <row r="135" spans="1:3" ht="18" customHeight="1">
      <c r="A135" s="78" t="s">
        <v>457</v>
      </c>
      <c r="B135" s="79">
        <v>104</v>
      </c>
      <c r="C135" s="80"/>
    </row>
    <row r="136" spans="1:3" ht="18" customHeight="1">
      <c r="A136" s="78" t="s">
        <v>458</v>
      </c>
      <c r="B136" s="79">
        <v>188</v>
      </c>
      <c r="C136" s="80">
        <v>104</v>
      </c>
    </row>
    <row r="137" spans="1:3" ht="18" customHeight="1">
      <c r="A137" s="78" t="s">
        <v>459</v>
      </c>
      <c r="B137" s="79">
        <v>1249</v>
      </c>
      <c r="C137" s="80">
        <f>SUM(C138)</f>
        <v>1249.2</v>
      </c>
    </row>
    <row r="138" spans="1:3" ht="18" customHeight="1">
      <c r="A138" s="78" t="s">
        <v>460</v>
      </c>
      <c r="B138" s="79">
        <v>1249</v>
      </c>
      <c r="C138" s="80">
        <f>500+749.2</f>
        <v>1249.2</v>
      </c>
    </row>
    <row r="139" spans="1:3" ht="18" customHeight="1">
      <c r="A139" s="78" t="s">
        <v>461</v>
      </c>
      <c r="B139" s="79">
        <v>29613</v>
      </c>
      <c r="C139" s="80">
        <f>C140+C149+C155+C159</f>
        <v>840.6700000000001</v>
      </c>
    </row>
    <row r="140" spans="1:3" ht="18" customHeight="1">
      <c r="A140" s="78" t="s">
        <v>462</v>
      </c>
      <c r="B140" s="79">
        <v>26361</v>
      </c>
      <c r="C140" s="80"/>
    </row>
    <row r="141" spans="1:3" ht="18" customHeight="1">
      <c r="A141" s="78" t="s">
        <v>369</v>
      </c>
      <c r="B141" s="79">
        <v>724</v>
      </c>
      <c r="C141" s="81"/>
    </row>
    <row r="142" spans="1:3" ht="18" customHeight="1">
      <c r="A142" s="78" t="s">
        <v>374</v>
      </c>
      <c r="B142" s="79">
        <v>1519</v>
      </c>
      <c r="C142" s="80"/>
    </row>
    <row r="143" spans="1:3" ht="18" customHeight="1">
      <c r="A143" s="78" t="s">
        <v>463</v>
      </c>
      <c r="B143" s="79">
        <v>657</v>
      </c>
      <c r="C143" s="80"/>
    </row>
    <row r="144" spans="1:3" ht="18" customHeight="1">
      <c r="A144" s="78" t="s">
        <v>464</v>
      </c>
      <c r="B144" s="79">
        <v>380</v>
      </c>
      <c r="C144" s="80"/>
    </row>
    <row r="145" spans="1:3" ht="18" customHeight="1">
      <c r="A145" s="78" t="s">
        <v>465</v>
      </c>
      <c r="B145" s="79">
        <v>635</v>
      </c>
      <c r="C145" s="80"/>
    </row>
    <row r="146" spans="1:3" ht="18" customHeight="1">
      <c r="A146" s="78" t="s">
        <v>466</v>
      </c>
      <c r="B146" s="79">
        <v>10</v>
      </c>
      <c r="C146" s="80"/>
    </row>
    <row r="147" spans="1:3" ht="18" customHeight="1">
      <c r="A147" s="78" t="s">
        <v>467</v>
      </c>
      <c r="B147" s="79">
        <v>139</v>
      </c>
      <c r="C147" s="80"/>
    </row>
    <row r="148" spans="1:3" ht="18" customHeight="1">
      <c r="A148" s="78" t="s">
        <v>468</v>
      </c>
      <c r="B148" s="79">
        <v>22297</v>
      </c>
      <c r="C148" s="80"/>
    </row>
    <row r="149" spans="1:3" ht="18" customHeight="1">
      <c r="A149" s="78" t="s">
        <v>469</v>
      </c>
      <c r="B149" s="79">
        <v>1112</v>
      </c>
      <c r="C149" s="80"/>
    </row>
    <row r="150" spans="1:3" ht="18" customHeight="1">
      <c r="A150" s="78" t="s">
        <v>369</v>
      </c>
      <c r="B150" s="79">
        <v>110</v>
      </c>
      <c r="C150" s="80"/>
    </row>
    <row r="151" spans="1:3" ht="18" customHeight="1">
      <c r="A151" s="78" t="s">
        <v>374</v>
      </c>
      <c r="B151" s="79">
        <v>65</v>
      </c>
      <c r="C151" s="80"/>
    </row>
    <row r="152" spans="1:3" ht="18" customHeight="1">
      <c r="A152" s="78" t="s">
        <v>470</v>
      </c>
      <c r="B152" s="79">
        <v>684</v>
      </c>
      <c r="C152" s="80"/>
    </row>
    <row r="153" spans="1:3" ht="18" customHeight="1">
      <c r="A153" s="78" t="s">
        <v>471</v>
      </c>
      <c r="B153" s="79">
        <v>177</v>
      </c>
      <c r="C153" s="80"/>
    </row>
    <row r="154" spans="1:3" ht="18" customHeight="1">
      <c r="A154" s="78" t="s">
        <v>472</v>
      </c>
      <c r="B154" s="79">
        <v>76</v>
      </c>
      <c r="C154" s="80"/>
    </row>
    <row r="155" spans="1:3" ht="18" customHeight="1">
      <c r="A155" s="78" t="s">
        <v>473</v>
      </c>
      <c r="B155" s="79">
        <v>867</v>
      </c>
      <c r="C155" s="80"/>
    </row>
    <row r="156" spans="1:3" ht="18" customHeight="1">
      <c r="A156" s="78" t="s">
        <v>369</v>
      </c>
      <c r="B156" s="79">
        <v>307</v>
      </c>
      <c r="C156" s="80"/>
    </row>
    <row r="157" spans="1:3" ht="18" customHeight="1">
      <c r="A157" s="78" t="s">
        <v>474</v>
      </c>
      <c r="B157" s="79">
        <v>538</v>
      </c>
      <c r="C157" s="80"/>
    </row>
    <row r="158" spans="1:3" ht="18" customHeight="1">
      <c r="A158" s="78" t="s">
        <v>475</v>
      </c>
      <c r="B158" s="79">
        <v>22</v>
      </c>
      <c r="C158" s="80"/>
    </row>
    <row r="159" spans="1:3" ht="18" customHeight="1">
      <c r="A159" s="78" t="s">
        <v>476</v>
      </c>
      <c r="B159" s="79">
        <v>1273</v>
      </c>
      <c r="C159" s="80">
        <f>SUM(C160:C161)</f>
        <v>840.6700000000001</v>
      </c>
    </row>
    <row r="160" spans="1:3" ht="18" customHeight="1">
      <c r="A160" s="78" t="s">
        <v>477</v>
      </c>
      <c r="B160" s="79">
        <v>500</v>
      </c>
      <c r="C160" s="80">
        <v>500</v>
      </c>
    </row>
    <row r="161" spans="1:3" ht="18" customHeight="1">
      <c r="A161" s="78" t="s">
        <v>478</v>
      </c>
      <c r="B161" s="79">
        <v>773</v>
      </c>
      <c r="C161" s="80">
        <v>340.67</v>
      </c>
    </row>
    <row r="162" spans="1:3" ht="18" customHeight="1">
      <c r="A162" s="78" t="s">
        <v>479</v>
      </c>
      <c r="B162" s="79">
        <v>123257</v>
      </c>
      <c r="C162" s="80">
        <f>C163+C174+C183+C188+C194+C200+C204+C210+C216+C218+C220+C222</f>
        <v>7010.69</v>
      </c>
    </row>
    <row r="163" spans="1:3" ht="18" customHeight="1">
      <c r="A163" s="78" t="s">
        <v>480</v>
      </c>
      <c r="B163" s="79">
        <v>21400</v>
      </c>
      <c r="C163" s="80">
        <f>SUM(C164:C173)</f>
        <v>13.44</v>
      </c>
    </row>
    <row r="164" spans="1:3" ht="18" customHeight="1">
      <c r="A164" s="78" t="s">
        <v>369</v>
      </c>
      <c r="B164" s="79">
        <v>1847</v>
      </c>
      <c r="C164" s="80"/>
    </row>
    <row r="165" spans="1:3" ht="18" customHeight="1">
      <c r="A165" s="78" t="s">
        <v>374</v>
      </c>
      <c r="B165" s="79">
        <v>1746</v>
      </c>
      <c r="C165" s="80"/>
    </row>
    <row r="166" spans="1:3" ht="18" customHeight="1">
      <c r="A166" s="78" t="s">
        <v>481</v>
      </c>
      <c r="B166" s="79">
        <v>38</v>
      </c>
      <c r="C166" s="80"/>
    </row>
    <row r="167" spans="1:3" ht="18" customHeight="1">
      <c r="A167" s="78" t="s">
        <v>482</v>
      </c>
      <c r="B167" s="79">
        <v>201</v>
      </c>
      <c r="C167" s="80"/>
    </row>
    <row r="168" spans="1:3" ht="18" customHeight="1">
      <c r="A168" s="78" t="s">
        <v>483</v>
      </c>
      <c r="B168" s="79">
        <v>60</v>
      </c>
      <c r="C168" s="80"/>
    </row>
    <row r="169" spans="1:3" ht="18" customHeight="1">
      <c r="A169" s="78" t="s">
        <v>399</v>
      </c>
      <c r="B169" s="79">
        <v>15</v>
      </c>
      <c r="C169" s="80"/>
    </row>
    <row r="170" spans="1:3" ht="18" customHeight="1">
      <c r="A170" s="78" t="s">
        <v>484</v>
      </c>
      <c r="B170" s="79">
        <v>13</v>
      </c>
      <c r="C170" s="80">
        <v>13.44</v>
      </c>
    </row>
    <row r="171" spans="1:3" ht="18" customHeight="1">
      <c r="A171" s="78" t="s">
        <v>485</v>
      </c>
      <c r="B171" s="79">
        <v>3</v>
      </c>
      <c r="C171" s="80"/>
    </row>
    <row r="172" spans="1:3" ht="18" customHeight="1">
      <c r="A172" s="78" t="s">
        <v>486</v>
      </c>
      <c r="B172" s="79">
        <v>58</v>
      </c>
      <c r="C172" s="80"/>
    </row>
    <row r="173" spans="1:3" ht="18" customHeight="1">
      <c r="A173" s="78" t="s">
        <v>487</v>
      </c>
      <c r="B173" s="79">
        <v>17419</v>
      </c>
      <c r="C173" s="80"/>
    </row>
    <row r="174" spans="1:3" ht="18" customHeight="1">
      <c r="A174" s="78" t="s">
        <v>488</v>
      </c>
      <c r="B174" s="79">
        <v>9667</v>
      </c>
      <c r="C174" s="80">
        <f>SUM(C175:C182)</f>
        <v>33.8</v>
      </c>
    </row>
    <row r="175" spans="1:3" ht="18" customHeight="1">
      <c r="A175" s="78" t="s">
        <v>369</v>
      </c>
      <c r="B175" s="79">
        <v>899</v>
      </c>
      <c r="C175" s="80"/>
    </row>
    <row r="176" spans="1:3" ht="18" customHeight="1">
      <c r="A176" s="78" t="s">
        <v>374</v>
      </c>
      <c r="B176" s="79">
        <v>182</v>
      </c>
      <c r="C176" s="80"/>
    </row>
    <row r="177" spans="1:3" ht="18" customHeight="1">
      <c r="A177" s="78" t="s">
        <v>489</v>
      </c>
      <c r="B177" s="79">
        <v>70</v>
      </c>
      <c r="C177" s="80"/>
    </row>
    <row r="178" spans="1:3" ht="18" customHeight="1">
      <c r="A178" s="78" t="s">
        <v>490</v>
      </c>
      <c r="B178" s="79">
        <v>1473</v>
      </c>
      <c r="C178" s="80"/>
    </row>
    <row r="179" spans="1:3" ht="18" customHeight="1">
      <c r="A179" s="78" t="s">
        <v>491</v>
      </c>
      <c r="B179" s="79">
        <v>180</v>
      </c>
      <c r="C179" s="80"/>
    </row>
    <row r="180" spans="1:3" ht="18" customHeight="1">
      <c r="A180" s="78" t="s">
        <v>492</v>
      </c>
      <c r="B180" s="79">
        <v>75</v>
      </c>
      <c r="C180" s="80"/>
    </row>
    <row r="181" spans="1:3" ht="18" customHeight="1">
      <c r="A181" s="78" t="s">
        <v>493</v>
      </c>
      <c r="B181" s="79">
        <v>6281</v>
      </c>
      <c r="C181" s="80"/>
    </row>
    <row r="182" spans="1:3" ht="18" customHeight="1">
      <c r="A182" s="78" t="s">
        <v>494</v>
      </c>
      <c r="B182" s="79">
        <v>507</v>
      </c>
      <c r="C182" s="80">
        <v>33.8</v>
      </c>
    </row>
    <row r="183" spans="1:3" ht="18" customHeight="1">
      <c r="A183" s="78" t="s">
        <v>495</v>
      </c>
      <c r="B183" s="79">
        <v>11206</v>
      </c>
      <c r="C183" s="80"/>
    </row>
    <row r="184" spans="1:3" ht="18" customHeight="1">
      <c r="A184" s="78" t="s">
        <v>496</v>
      </c>
      <c r="B184" s="79">
        <v>128</v>
      </c>
      <c r="C184" s="80"/>
    </row>
    <row r="185" spans="1:3" ht="18" customHeight="1">
      <c r="A185" s="78" t="s">
        <v>497</v>
      </c>
      <c r="B185" s="79">
        <v>460</v>
      </c>
      <c r="C185" s="80"/>
    </row>
    <row r="186" spans="1:3" ht="18" customHeight="1">
      <c r="A186" s="78" t="s">
        <v>498</v>
      </c>
      <c r="B186" s="79">
        <v>7597</v>
      </c>
      <c r="C186" s="80"/>
    </row>
    <row r="187" spans="1:3" ht="18" customHeight="1">
      <c r="A187" s="78" t="s">
        <v>499</v>
      </c>
      <c r="B187" s="79">
        <v>3021</v>
      </c>
      <c r="C187" s="80"/>
    </row>
    <row r="188" spans="1:3" ht="18" customHeight="1">
      <c r="A188" s="78" t="s">
        <v>500</v>
      </c>
      <c r="B188" s="79">
        <v>1729</v>
      </c>
      <c r="C188" s="80"/>
    </row>
    <row r="189" spans="1:3" ht="18" customHeight="1">
      <c r="A189" s="78" t="s">
        <v>501</v>
      </c>
      <c r="B189" s="79">
        <v>376</v>
      </c>
      <c r="C189" s="80"/>
    </row>
    <row r="190" spans="1:3" ht="18" customHeight="1">
      <c r="A190" s="78" t="s">
        <v>502</v>
      </c>
      <c r="B190" s="79">
        <v>36</v>
      </c>
      <c r="C190" s="80"/>
    </row>
    <row r="191" spans="1:3" ht="18" customHeight="1">
      <c r="A191" s="78" t="s">
        <v>503</v>
      </c>
      <c r="B191" s="79">
        <v>45</v>
      </c>
      <c r="C191" s="80"/>
    </row>
    <row r="192" spans="1:3" ht="18" customHeight="1">
      <c r="A192" s="78" t="s">
        <v>504</v>
      </c>
      <c r="B192" s="79">
        <v>227</v>
      </c>
      <c r="C192" s="80"/>
    </row>
    <row r="193" spans="1:3" ht="18" customHeight="1">
      <c r="A193" s="78" t="s">
        <v>505</v>
      </c>
      <c r="B193" s="79">
        <v>1045</v>
      </c>
      <c r="C193" s="80"/>
    </row>
    <row r="194" spans="1:3" ht="18" customHeight="1">
      <c r="A194" s="78" t="s">
        <v>506</v>
      </c>
      <c r="B194" s="79">
        <v>821</v>
      </c>
      <c r="C194" s="80">
        <f>SUM(C195:C199)</f>
        <v>101.11</v>
      </c>
    </row>
    <row r="195" spans="1:3" ht="18" customHeight="1">
      <c r="A195" s="78" t="s">
        <v>507</v>
      </c>
      <c r="B195" s="79">
        <v>12</v>
      </c>
      <c r="C195" s="80"/>
    </row>
    <row r="196" spans="1:3" ht="18" customHeight="1">
      <c r="A196" s="78" t="s">
        <v>508</v>
      </c>
      <c r="B196" s="79">
        <v>62</v>
      </c>
      <c r="C196" s="80"/>
    </row>
    <row r="197" spans="1:3" ht="18" customHeight="1">
      <c r="A197" s="78" t="s">
        <v>509</v>
      </c>
      <c r="B197" s="79">
        <v>48</v>
      </c>
      <c r="C197" s="80"/>
    </row>
    <row r="198" spans="1:3" ht="18" customHeight="1">
      <c r="A198" s="78" t="s">
        <v>510</v>
      </c>
      <c r="B198" s="79">
        <v>369</v>
      </c>
      <c r="C198" s="80"/>
    </row>
    <row r="199" spans="1:3" ht="18" customHeight="1">
      <c r="A199" s="78" t="s">
        <v>511</v>
      </c>
      <c r="B199" s="79">
        <v>330</v>
      </c>
      <c r="C199" s="80">
        <v>101.11</v>
      </c>
    </row>
    <row r="200" spans="1:3" ht="18" customHeight="1">
      <c r="A200" s="78" t="s">
        <v>512</v>
      </c>
      <c r="B200" s="79">
        <v>517</v>
      </c>
      <c r="C200" s="80"/>
    </row>
    <row r="201" spans="1:3" ht="18" customHeight="1">
      <c r="A201" s="78" t="s">
        <v>513</v>
      </c>
      <c r="B201" s="79">
        <v>308</v>
      </c>
      <c r="C201" s="80"/>
    </row>
    <row r="202" spans="1:3" ht="18" customHeight="1">
      <c r="A202" s="78" t="s">
        <v>514</v>
      </c>
      <c r="B202" s="79">
        <v>100</v>
      </c>
      <c r="C202" s="80"/>
    </row>
    <row r="203" spans="1:3" ht="18" customHeight="1">
      <c r="A203" s="78" t="s">
        <v>515</v>
      </c>
      <c r="B203" s="79">
        <v>109</v>
      </c>
      <c r="C203" s="80"/>
    </row>
    <row r="204" spans="1:3" ht="18" customHeight="1">
      <c r="A204" s="78" t="s">
        <v>516</v>
      </c>
      <c r="B204" s="79">
        <v>3462</v>
      </c>
      <c r="C204" s="81"/>
    </row>
    <row r="205" spans="1:3" ht="18" customHeight="1">
      <c r="A205" s="78" t="s">
        <v>517</v>
      </c>
      <c r="B205" s="79">
        <v>1</v>
      </c>
      <c r="C205" s="80"/>
    </row>
    <row r="206" spans="1:3" ht="18" customHeight="1">
      <c r="A206" s="78" t="s">
        <v>518</v>
      </c>
      <c r="B206" s="79">
        <v>960</v>
      </c>
      <c r="C206" s="80"/>
    </row>
    <row r="207" spans="1:3" ht="18" customHeight="1">
      <c r="A207" s="78" t="s">
        <v>519</v>
      </c>
      <c r="B207" s="79">
        <v>103</v>
      </c>
      <c r="C207" s="80"/>
    </row>
    <row r="208" spans="1:3" ht="18" customHeight="1">
      <c r="A208" s="78" t="s">
        <v>520</v>
      </c>
      <c r="B208" s="79">
        <v>425</v>
      </c>
      <c r="C208" s="80"/>
    </row>
    <row r="209" spans="1:3" ht="18" customHeight="1">
      <c r="A209" s="78" t="s">
        <v>521</v>
      </c>
      <c r="B209" s="79">
        <v>1973</v>
      </c>
      <c r="C209" s="80"/>
    </row>
    <row r="210" spans="1:3" ht="18" customHeight="1">
      <c r="A210" s="78" t="s">
        <v>522</v>
      </c>
      <c r="B210" s="79">
        <v>3124</v>
      </c>
      <c r="C210" s="80">
        <f>SUM(C211:C215)</f>
        <v>125.84</v>
      </c>
    </row>
    <row r="211" spans="1:3" ht="18" customHeight="1">
      <c r="A211" s="78" t="s">
        <v>374</v>
      </c>
      <c r="B211" s="79">
        <v>108</v>
      </c>
      <c r="C211" s="80"/>
    </row>
    <row r="212" spans="1:3" ht="18" customHeight="1">
      <c r="A212" s="78" t="s">
        <v>523</v>
      </c>
      <c r="B212" s="79">
        <v>295</v>
      </c>
      <c r="C212" s="80">
        <v>15.32</v>
      </c>
    </row>
    <row r="213" spans="1:3" ht="18" customHeight="1">
      <c r="A213" s="78" t="s">
        <v>524</v>
      </c>
      <c r="B213" s="79">
        <v>196</v>
      </c>
      <c r="C213" s="80"/>
    </row>
    <row r="214" spans="1:3" ht="18" customHeight="1">
      <c r="A214" s="78" t="s">
        <v>525</v>
      </c>
      <c r="B214" s="79">
        <v>1365</v>
      </c>
      <c r="C214" s="80">
        <v>33.92</v>
      </c>
    </row>
    <row r="215" spans="1:3" ht="18" customHeight="1">
      <c r="A215" s="78" t="s">
        <v>526</v>
      </c>
      <c r="B215" s="79">
        <v>1160</v>
      </c>
      <c r="C215" s="80">
        <v>76.6</v>
      </c>
    </row>
    <row r="216" spans="1:3" ht="18" customHeight="1">
      <c r="A216" s="78" t="s">
        <v>527</v>
      </c>
      <c r="B216" s="79">
        <v>400</v>
      </c>
      <c r="C216" s="80"/>
    </row>
    <row r="217" spans="1:3" ht="18" customHeight="1">
      <c r="A217" s="78" t="s">
        <v>528</v>
      </c>
      <c r="B217" s="79">
        <v>400</v>
      </c>
      <c r="C217" s="80"/>
    </row>
    <row r="218" spans="1:3" ht="18" customHeight="1">
      <c r="A218" s="78" t="s">
        <v>529</v>
      </c>
      <c r="B218" s="79">
        <v>704</v>
      </c>
      <c r="C218" s="80"/>
    </row>
    <row r="219" spans="1:3" ht="18" customHeight="1">
      <c r="A219" s="78" t="s">
        <v>530</v>
      </c>
      <c r="B219" s="79">
        <v>704</v>
      </c>
      <c r="C219" s="80"/>
    </row>
    <row r="220" spans="1:3" ht="18" customHeight="1">
      <c r="A220" s="78" t="s">
        <v>531</v>
      </c>
      <c r="B220" s="79">
        <v>769</v>
      </c>
      <c r="C220" s="80"/>
    </row>
    <row r="221" spans="1:3" ht="18" customHeight="1">
      <c r="A221" s="78" t="s">
        <v>532</v>
      </c>
      <c r="B221" s="79">
        <v>769</v>
      </c>
      <c r="C221" s="80"/>
    </row>
    <row r="222" spans="1:3" ht="18" customHeight="1">
      <c r="A222" s="78" t="s">
        <v>533</v>
      </c>
      <c r="B222" s="79">
        <v>69458</v>
      </c>
      <c r="C222" s="80">
        <f>SUM(C223)</f>
        <v>6736.5</v>
      </c>
    </row>
    <row r="223" spans="1:3" ht="18" customHeight="1">
      <c r="A223" s="78" t="s">
        <v>534</v>
      </c>
      <c r="B223" s="79">
        <v>69458</v>
      </c>
      <c r="C223" s="80">
        <v>6736.5</v>
      </c>
    </row>
    <row r="224" spans="1:3" ht="18" customHeight="1">
      <c r="A224" s="78" t="s">
        <v>535</v>
      </c>
      <c r="B224" s="79">
        <v>32274</v>
      </c>
      <c r="C224" s="80">
        <f>C225+C229+C231+C238+C240+C242+C245+C248</f>
        <v>732.08</v>
      </c>
    </row>
    <row r="225" spans="1:3" ht="18" customHeight="1">
      <c r="A225" s="78" t="s">
        <v>536</v>
      </c>
      <c r="B225" s="79">
        <v>2911</v>
      </c>
      <c r="C225" s="80"/>
    </row>
    <row r="226" spans="1:3" ht="18" customHeight="1">
      <c r="A226" s="78" t="s">
        <v>369</v>
      </c>
      <c r="B226" s="79">
        <v>1296</v>
      </c>
      <c r="C226" s="80"/>
    </row>
    <row r="227" spans="1:3" ht="18" customHeight="1">
      <c r="A227" s="78" t="s">
        <v>374</v>
      </c>
      <c r="B227" s="79">
        <v>1599</v>
      </c>
      <c r="C227" s="80"/>
    </row>
    <row r="228" spans="1:3" ht="18" customHeight="1">
      <c r="A228" s="78" t="s">
        <v>537</v>
      </c>
      <c r="B228" s="79">
        <v>16</v>
      </c>
      <c r="C228" s="80"/>
    </row>
    <row r="229" spans="1:3" ht="18" customHeight="1">
      <c r="A229" s="78" t="s">
        <v>538</v>
      </c>
      <c r="B229" s="79">
        <v>6216</v>
      </c>
      <c r="C229" s="80"/>
    </row>
    <row r="230" spans="1:3" ht="18" customHeight="1">
      <c r="A230" s="78" t="s">
        <v>539</v>
      </c>
      <c r="B230" s="79">
        <v>6216</v>
      </c>
      <c r="C230" s="80"/>
    </row>
    <row r="231" spans="1:3" ht="18" customHeight="1">
      <c r="A231" s="78" t="s">
        <v>540</v>
      </c>
      <c r="B231" s="79">
        <v>2613</v>
      </c>
      <c r="C231" s="80"/>
    </row>
    <row r="232" spans="1:3" ht="18" customHeight="1">
      <c r="A232" s="78" t="s">
        <v>541</v>
      </c>
      <c r="B232" s="79">
        <v>149</v>
      </c>
      <c r="C232" s="80"/>
    </row>
    <row r="233" spans="1:3" ht="18" customHeight="1">
      <c r="A233" s="78" t="s">
        <v>542</v>
      </c>
      <c r="B233" s="79">
        <v>75</v>
      </c>
      <c r="C233" s="80"/>
    </row>
    <row r="234" spans="1:3" ht="18" customHeight="1">
      <c r="A234" s="78" t="s">
        <v>543</v>
      </c>
      <c r="B234" s="79">
        <v>120</v>
      </c>
      <c r="C234" s="80"/>
    </row>
    <row r="235" spans="1:3" ht="18" customHeight="1">
      <c r="A235" s="78" t="s">
        <v>544</v>
      </c>
      <c r="B235" s="79">
        <v>30</v>
      </c>
      <c r="C235" s="80"/>
    </row>
    <row r="236" spans="1:3" ht="18" customHeight="1">
      <c r="A236" s="78" t="s">
        <v>545</v>
      </c>
      <c r="B236" s="79">
        <v>696</v>
      </c>
      <c r="C236" s="80"/>
    </row>
    <row r="237" spans="1:3" ht="18" customHeight="1">
      <c r="A237" s="78" t="s">
        <v>546</v>
      </c>
      <c r="B237" s="79">
        <v>1543</v>
      </c>
      <c r="C237" s="80"/>
    </row>
    <row r="238" spans="1:3" ht="18" customHeight="1">
      <c r="A238" s="78" t="s">
        <v>547</v>
      </c>
      <c r="B238" s="79">
        <v>543</v>
      </c>
      <c r="C238" s="80"/>
    </row>
    <row r="239" spans="1:3" ht="18" customHeight="1">
      <c r="A239" s="78" t="s">
        <v>548</v>
      </c>
      <c r="B239" s="79">
        <v>543</v>
      </c>
      <c r="C239" s="80"/>
    </row>
    <row r="240" spans="1:3" ht="18" customHeight="1">
      <c r="A240" s="78" t="s">
        <v>549</v>
      </c>
      <c r="B240" s="79">
        <v>2956</v>
      </c>
      <c r="C240" s="80"/>
    </row>
    <row r="241" spans="1:3" ht="18" customHeight="1">
      <c r="A241" s="78" t="s">
        <v>550</v>
      </c>
      <c r="B241" s="79">
        <v>2956</v>
      </c>
      <c r="C241" s="80"/>
    </row>
    <row r="242" spans="1:3" ht="18" customHeight="1">
      <c r="A242" s="78" t="s">
        <v>551</v>
      </c>
      <c r="B242" s="79">
        <v>350</v>
      </c>
      <c r="C242" s="80">
        <f>SUM(C243:C244)</f>
        <v>11.9</v>
      </c>
    </row>
    <row r="243" spans="1:3" ht="18" customHeight="1">
      <c r="A243" s="78" t="s">
        <v>552</v>
      </c>
      <c r="B243" s="79">
        <v>338</v>
      </c>
      <c r="C243" s="80"/>
    </row>
    <row r="244" spans="1:3" ht="18" customHeight="1">
      <c r="A244" s="78" t="s">
        <v>553</v>
      </c>
      <c r="B244" s="79">
        <v>12</v>
      </c>
      <c r="C244" s="80">
        <v>11.9</v>
      </c>
    </row>
    <row r="245" spans="1:3" ht="18" customHeight="1">
      <c r="A245" s="78" t="s">
        <v>554</v>
      </c>
      <c r="B245" s="79">
        <v>4151</v>
      </c>
      <c r="C245" s="80"/>
    </row>
    <row r="246" spans="1:3" ht="18" customHeight="1">
      <c r="A246" s="78" t="s">
        <v>555</v>
      </c>
      <c r="B246" s="79">
        <v>1412</v>
      </c>
      <c r="C246" s="80"/>
    </row>
    <row r="247" spans="1:3" ht="18" customHeight="1">
      <c r="A247" s="78" t="s">
        <v>556</v>
      </c>
      <c r="B247" s="79">
        <v>2739</v>
      </c>
      <c r="C247" s="80"/>
    </row>
    <row r="248" spans="1:3" ht="18" customHeight="1">
      <c r="A248" s="78" t="s">
        <v>557</v>
      </c>
      <c r="B248" s="79">
        <v>12534</v>
      </c>
      <c r="C248" s="80">
        <f>SUM(C249)</f>
        <v>720.1800000000001</v>
      </c>
    </row>
    <row r="249" spans="1:3" ht="18" customHeight="1">
      <c r="A249" s="78" t="s">
        <v>558</v>
      </c>
      <c r="B249" s="79">
        <v>12534</v>
      </c>
      <c r="C249" s="80">
        <f>422.51+297.67</f>
        <v>720.1800000000001</v>
      </c>
    </row>
    <row r="250" spans="1:3" ht="18" customHeight="1">
      <c r="A250" s="78" t="s">
        <v>559</v>
      </c>
      <c r="B250" s="79">
        <v>5168</v>
      </c>
      <c r="C250" s="80">
        <f>C251+C253+C255+C257</f>
        <v>100</v>
      </c>
    </row>
    <row r="251" spans="1:3" ht="18" customHeight="1">
      <c r="A251" s="78" t="s">
        <v>560</v>
      </c>
      <c r="B251" s="79">
        <v>109</v>
      </c>
      <c r="C251" s="80"/>
    </row>
    <row r="252" spans="1:3" ht="18" customHeight="1">
      <c r="A252" s="78" t="s">
        <v>561</v>
      </c>
      <c r="B252" s="79">
        <v>109</v>
      </c>
      <c r="C252" s="80"/>
    </row>
    <row r="253" spans="1:3" ht="18" customHeight="1">
      <c r="A253" s="78" t="s">
        <v>562</v>
      </c>
      <c r="B253" s="79">
        <v>100</v>
      </c>
      <c r="C253" s="80"/>
    </row>
    <row r="254" spans="1:3" ht="18" customHeight="1">
      <c r="A254" s="78" t="s">
        <v>563</v>
      </c>
      <c r="B254" s="79">
        <v>100</v>
      </c>
      <c r="C254" s="80"/>
    </row>
    <row r="255" spans="1:3" ht="18" customHeight="1">
      <c r="A255" s="78" t="s">
        <v>564</v>
      </c>
      <c r="B255" s="79">
        <v>100</v>
      </c>
      <c r="C255" s="80">
        <f>SUM(C256)</f>
        <v>100</v>
      </c>
    </row>
    <row r="256" spans="1:3" ht="18" customHeight="1">
      <c r="A256" s="78" t="s">
        <v>565</v>
      </c>
      <c r="B256" s="79">
        <v>100</v>
      </c>
      <c r="C256" s="80">
        <v>100</v>
      </c>
    </row>
    <row r="257" spans="1:3" ht="18" customHeight="1">
      <c r="A257" s="78" t="s">
        <v>566</v>
      </c>
      <c r="B257" s="79">
        <v>4859</v>
      </c>
      <c r="C257" s="80"/>
    </row>
    <row r="258" spans="1:3" ht="18" customHeight="1">
      <c r="A258" s="78" t="s">
        <v>567</v>
      </c>
      <c r="B258" s="79">
        <v>4859</v>
      </c>
      <c r="C258" s="80"/>
    </row>
    <row r="259" spans="1:3" ht="18" customHeight="1">
      <c r="A259" s="78" t="s">
        <v>568</v>
      </c>
      <c r="B259" s="79">
        <v>250065</v>
      </c>
      <c r="C259" s="80">
        <f>C260+C268+C270+C272+C274</f>
        <v>5037.5</v>
      </c>
    </row>
    <row r="260" spans="1:3" ht="18" customHeight="1">
      <c r="A260" s="78" t="s">
        <v>569</v>
      </c>
      <c r="B260" s="79">
        <v>36086</v>
      </c>
      <c r="C260" s="80"/>
    </row>
    <row r="261" spans="1:3" ht="18" customHeight="1">
      <c r="A261" s="78" t="s">
        <v>369</v>
      </c>
      <c r="B261" s="79">
        <v>15093</v>
      </c>
      <c r="C261" s="80"/>
    </row>
    <row r="262" spans="1:3" ht="18" customHeight="1">
      <c r="A262" s="78" t="s">
        <v>374</v>
      </c>
      <c r="B262" s="79">
        <v>6679</v>
      </c>
      <c r="C262" s="80"/>
    </row>
    <row r="263" spans="1:3" ht="18" customHeight="1">
      <c r="A263" s="78" t="s">
        <v>378</v>
      </c>
      <c r="B263" s="79">
        <v>146</v>
      </c>
      <c r="C263" s="80"/>
    </row>
    <row r="264" spans="1:3" ht="18" customHeight="1">
      <c r="A264" s="78" t="s">
        <v>570</v>
      </c>
      <c r="B264" s="79">
        <v>2038</v>
      </c>
      <c r="C264" s="80"/>
    </row>
    <row r="265" spans="1:3" ht="18" customHeight="1">
      <c r="A265" s="78" t="s">
        <v>571</v>
      </c>
      <c r="B265" s="79">
        <v>868</v>
      </c>
      <c r="C265" s="80"/>
    </row>
    <row r="266" spans="1:3" ht="18" customHeight="1">
      <c r="A266" s="78" t="s">
        <v>572</v>
      </c>
      <c r="B266" s="79">
        <v>76</v>
      </c>
      <c r="C266" s="80"/>
    </row>
    <row r="267" spans="1:3" ht="18" customHeight="1">
      <c r="A267" s="78" t="s">
        <v>573</v>
      </c>
      <c r="B267" s="79">
        <v>11186</v>
      </c>
      <c r="C267" s="80"/>
    </row>
    <row r="268" spans="1:3" ht="18" customHeight="1">
      <c r="A268" s="78" t="s">
        <v>574</v>
      </c>
      <c r="B268" s="79">
        <v>857</v>
      </c>
      <c r="C268" s="80"/>
    </row>
    <row r="269" spans="1:3" ht="18" customHeight="1">
      <c r="A269" s="78" t="s">
        <v>575</v>
      </c>
      <c r="B269" s="79">
        <v>857</v>
      </c>
      <c r="C269" s="80"/>
    </row>
    <row r="270" spans="1:3" ht="18" customHeight="1">
      <c r="A270" s="78" t="s">
        <v>576</v>
      </c>
      <c r="B270" s="79">
        <v>31208</v>
      </c>
      <c r="C270" s="80"/>
    </row>
    <row r="271" spans="1:3" ht="18" customHeight="1">
      <c r="A271" s="78" t="s">
        <v>577</v>
      </c>
      <c r="B271" s="79">
        <v>31208</v>
      </c>
      <c r="C271" s="80"/>
    </row>
    <row r="272" spans="1:3" ht="18" customHeight="1">
      <c r="A272" s="78" t="s">
        <v>578</v>
      </c>
      <c r="B272" s="79">
        <v>27005</v>
      </c>
      <c r="C272" s="80"/>
    </row>
    <row r="273" spans="1:3" ht="18" customHeight="1">
      <c r="A273" s="78" t="s">
        <v>579</v>
      </c>
      <c r="B273" s="79">
        <v>27005</v>
      </c>
      <c r="C273" s="80"/>
    </row>
    <row r="274" spans="1:3" ht="18" customHeight="1">
      <c r="A274" s="78" t="s">
        <v>580</v>
      </c>
      <c r="B274" s="79">
        <v>154909</v>
      </c>
      <c r="C274" s="80">
        <f>SUM(C275)</f>
        <v>5037.5</v>
      </c>
    </row>
    <row r="275" spans="1:3" ht="18" customHeight="1">
      <c r="A275" s="78" t="s">
        <v>581</v>
      </c>
      <c r="B275" s="79">
        <v>154909</v>
      </c>
      <c r="C275" s="80">
        <f>5000+37.5</f>
        <v>5037.5</v>
      </c>
    </row>
    <row r="276" spans="1:3" ht="18" customHeight="1">
      <c r="A276" s="78" t="s">
        <v>582</v>
      </c>
      <c r="B276" s="79">
        <v>9658</v>
      </c>
      <c r="C276" s="80">
        <f>C277+C288+C291+C296+C298+C301</f>
        <v>255.1</v>
      </c>
    </row>
    <row r="277" spans="1:3" ht="18" customHeight="1">
      <c r="A277" s="78" t="s">
        <v>583</v>
      </c>
      <c r="B277" s="79">
        <v>4011</v>
      </c>
      <c r="C277" s="80">
        <f>SUM(C278:C287)</f>
        <v>170.29999999999998</v>
      </c>
    </row>
    <row r="278" spans="1:3" ht="18" customHeight="1">
      <c r="A278" s="78" t="s">
        <v>369</v>
      </c>
      <c r="B278" s="79">
        <v>871</v>
      </c>
      <c r="C278" s="80"/>
    </row>
    <row r="279" spans="1:3" ht="18" customHeight="1">
      <c r="A279" s="78" t="s">
        <v>374</v>
      </c>
      <c r="B279" s="79">
        <v>570</v>
      </c>
      <c r="C279" s="80"/>
    </row>
    <row r="280" spans="1:3" ht="18" customHeight="1">
      <c r="A280" s="78" t="s">
        <v>584</v>
      </c>
      <c r="B280" s="79">
        <v>20</v>
      </c>
      <c r="C280" s="80">
        <v>20</v>
      </c>
    </row>
    <row r="281" spans="1:3" ht="18" customHeight="1">
      <c r="A281" s="78" t="s">
        <v>585</v>
      </c>
      <c r="B281" s="79">
        <v>24</v>
      </c>
      <c r="C281" s="80"/>
    </row>
    <row r="282" spans="1:3" ht="18" customHeight="1">
      <c r="A282" s="78" t="s">
        <v>586</v>
      </c>
      <c r="B282" s="79">
        <v>157</v>
      </c>
      <c r="C282" s="80"/>
    </row>
    <row r="283" spans="1:3" ht="18" customHeight="1">
      <c r="A283" s="78" t="s">
        <v>587</v>
      </c>
      <c r="B283" s="79">
        <v>224</v>
      </c>
      <c r="C283" s="80">
        <v>5</v>
      </c>
    </row>
    <row r="284" spans="1:3" ht="18" customHeight="1">
      <c r="A284" s="78" t="s">
        <v>588</v>
      </c>
      <c r="B284" s="79">
        <v>40</v>
      </c>
      <c r="C284" s="80"/>
    </row>
    <row r="285" spans="1:3" ht="18" customHeight="1">
      <c r="A285" s="78" t="s">
        <v>589</v>
      </c>
      <c r="B285" s="79">
        <v>1021</v>
      </c>
      <c r="C285" s="80"/>
    </row>
    <row r="286" spans="1:3" ht="18" customHeight="1">
      <c r="A286" s="78" t="s">
        <v>590</v>
      </c>
      <c r="B286" s="79">
        <v>123</v>
      </c>
      <c r="C286" s="80">
        <f>23+99.76</f>
        <v>122.76</v>
      </c>
    </row>
    <row r="287" spans="1:3" ht="18" customHeight="1">
      <c r="A287" s="78" t="s">
        <v>591</v>
      </c>
      <c r="B287" s="79">
        <v>961</v>
      </c>
      <c r="C287" s="81">
        <v>22.54</v>
      </c>
    </row>
    <row r="288" spans="1:3" ht="18" customHeight="1">
      <c r="A288" s="78" t="s">
        <v>592</v>
      </c>
      <c r="B288" s="79">
        <v>57</v>
      </c>
      <c r="C288" s="81"/>
    </row>
    <row r="289" spans="1:3" ht="18" customHeight="1">
      <c r="A289" s="78" t="s">
        <v>593</v>
      </c>
      <c r="B289" s="79">
        <v>5</v>
      </c>
      <c r="C289" s="81"/>
    </row>
    <row r="290" spans="1:3" ht="18" customHeight="1">
      <c r="A290" s="78" t="s">
        <v>594</v>
      </c>
      <c r="B290" s="79">
        <v>52</v>
      </c>
      <c r="C290" s="81"/>
    </row>
    <row r="291" spans="1:3" ht="18" customHeight="1">
      <c r="A291" s="78" t="s">
        <v>595</v>
      </c>
      <c r="B291" s="79">
        <v>2045</v>
      </c>
      <c r="C291" s="81">
        <f>SUM(C292:C295)</f>
        <v>53.5</v>
      </c>
    </row>
    <row r="292" spans="1:3" ht="18" customHeight="1">
      <c r="A292" s="78" t="s">
        <v>374</v>
      </c>
      <c r="B292" s="79">
        <v>76</v>
      </c>
      <c r="C292" s="81"/>
    </row>
    <row r="293" spans="1:3" ht="18" customHeight="1">
      <c r="A293" s="78" t="s">
        <v>596</v>
      </c>
      <c r="B293" s="79">
        <v>1822</v>
      </c>
      <c r="C293" s="81"/>
    </row>
    <row r="294" spans="1:3" ht="18" customHeight="1">
      <c r="A294" s="78" t="s">
        <v>597</v>
      </c>
      <c r="B294" s="79">
        <v>20</v>
      </c>
      <c r="C294" s="81"/>
    </row>
    <row r="295" spans="1:3" ht="18" customHeight="1">
      <c r="A295" s="78" t="s">
        <v>598</v>
      </c>
      <c r="B295" s="79">
        <v>127</v>
      </c>
      <c r="C295" s="81">
        <v>53.5</v>
      </c>
    </row>
    <row r="296" spans="1:3" ht="18" customHeight="1">
      <c r="A296" s="78" t="s">
        <v>599</v>
      </c>
      <c r="B296" s="79">
        <v>647</v>
      </c>
      <c r="C296" s="81"/>
    </row>
    <row r="297" spans="1:3" ht="18" customHeight="1">
      <c r="A297" s="78" t="s">
        <v>600</v>
      </c>
      <c r="B297" s="79">
        <v>647</v>
      </c>
      <c r="C297" s="81"/>
    </row>
    <row r="298" spans="1:3" ht="18" customHeight="1">
      <c r="A298" s="78" t="s">
        <v>601</v>
      </c>
      <c r="B298" s="79">
        <v>530</v>
      </c>
      <c r="C298" s="81"/>
    </row>
    <row r="299" spans="1:3" ht="18" customHeight="1">
      <c r="A299" s="78" t="s">
        <v>602</v>
      </c>
      <c r="B299" s="79">
        <v>506</v>
      </c>
      <c r="C299" s="81"/>
    </row>
    <row r="300" spans="1:3" ht="18" customHeight="1">
      <c r="A300" s="78" t="s">
        <v>603</v>
      </c>
      <c r="B300" s="79">
        <v>24</v>
      </c>
      <c r="C300" s="81"/>
    </row>
    <row r="301" spans="1:3" ht="18" customHeight="1">
      <c r="A301" s="78" t="s">
        <v>604</v>
      </c>
      <c r="B301" s="79">
        <v>2368</v>
      </c>
      <c r="C301" s="81">
        <f>SUM(C302)</f>
        <v>31.3</v>
      </c>
    </row>
    <row r="302" spans="1:3" ht="18" customHeight="1">
      <c r="A302" s="78" t="s">
        <v>605</v>
      </c>
      <c r="B302" s="79">
        <v>2368</v>
      </c>
      <c r="C302" s="81">
        <f>24.8+6.5</f>
        <v>31.3</v>
      </c>
    </row>
    <row r="303" spans="1:3" ht="18" customHeight="1">
      <c r="A303" s="78" t="s">
        <v>606</v>
      </c>
      <c r="B303" s="79">
        <v>78170</v>
      </c>
      <c r="C303" s="81">
        <f>C304+C306+C308+C312+C316</f>
        <v>21829.8</v>
      </c>
    </row>
    <row r="304" spans="1:3" ht="18" customHeight="1">
      <c r="A304" s="78" t="s">
        <v>607</v>
      </c>
      <c r="B304" s="79">
        <v>4220</v>
      </c>
      <c r="C304" s="81">
        <f>SUM(C305)</f>
        <v>4220</v>
      </c>
    </row>
    <row r="305" spans="1:3" ht="18" customHeight="1">
      <c r="A305" s="78" t="s">
        <v>608</v>
      </c>
      <c r="B305" s="79">
        <v>4220</v>
      </c>
      <c r="C305" s="81">
        <v>4220</v>
      </c>
    </row>
    <row r="306" spans="1:3" ht="18" customHeight="1">
      <c r="A306" s="78" t="s">
        <v>609</v>
      </c>
      <c r="B306" s="79">
        <v>15021</v>
      </c>
      <c r="C306" s="81">
        <f>SUM(C307)</f>
        <v>15020.8</v>
      </c>
    </row>
    <row r="307" spans="1:3" ht="18" customHeight="1">
      <c r="A307" s="78" t="s">
        <v>610</v>
      </c>
      <c r="B307" s="79">
        <v>15021</v>
      </c>
      <c r="C307" s="81">
        <f>14847+173.8</f>
        <v>15020.8</v>
      </c>
    </row>
    <row r="308" spans="1:3" ht="18" customHeight="1">
      <c r="A308" s="78" t="s">
        <v>611</v>
      </c>
      <c r="B308" s="79">
        <v>673</v>
      </c>
      <c r="C308" s="81"/>
    </row>
    <row r="309" spans="1:3" ht="18" customHeight="1">
      <c r="A309" s="78" t="s">
        <v>369</v>
      </c>
      <c r="B309" s="79">
        <v>552</v>
      </c>
      <c r="C309" s="81"/>
    </row>
    <row r="310" spans="1:3" ht="18" customHeight="1">
      <c r="A310" s="78" t="s">
        <v>374</v>
      </c>
      <c r="B310" s="79">
        <v>12</v>
      </c>
      <c r="C310" s="81"/>
    </row>
    <row r="311" spans="1:3" ht="18" customHeight="1">
      <c r="A311" s="78" t="s">
        <v>612</v>
      </c>
      <c r="B311" s="79">
        <v>109</v>
      </c>
      <c r="C311" s="81"/>
    </row>
    <row r="312" spans="1:3" ht="18" customHeight="1">
      <c r="A312" s="78" t="s">
        <v>613</v>
      </c>
      <c r="B312" s="79">
        <v>26456</v>
      </c>
      <c r="C312" s="81">
        <f>SUM(C313:C315)</f>
        <v>2589</v>
      </c>
    </row>
    <row r="313" spans="1:3" ht="18" customHeight="1">
      <c r="A313" s="78" t="s">
        <v>614</v>
      </c>
      <c r="B313" s="79">
        <v>21051</v>
      </c>
      <c r="C313" s="81"/>
    </row>
    <row r="314" spans="1:3" ht="18" customHeight="1">
      <c r="A314" s="78" t="s">
        <v>615</v>
      </c>
      <c r="B314" s="79">
        <v>2500</v>
      </c>
      <c r="C314" s="81">
        <v>2500</v>
      </c>
    </row>
    <row r="315" spans="1:3" ht="18" customHeight="1">
      <c r="A315" s="78" t="s">
        <v>616</v>
      </c>
      <c r="B315" s="79">
        <v>2905</v>
      </c>
      <c r="C315" s="81">
        <v>89</v>
      </c>
    </row>
    <row r="316" spans="1:3" ht="18" customHeight="1">
      <c r="A316" s="78" t="s">
        <v>617</v>
      </c>
      <c r="B316" s="79">
        <v>31800</v>
      </c>
      <c r="C316" s="81"/>
    </row>
    <row r="317" spans="1:3" ht="18" customHeight="1">
      <c r="A317" s="78" t="s">
        <v>618</v>
      </c>
      <c r="B317" s="79">
        <v>31800</v>
      </c>
      <c r="C317" s="81"/>
    </row>
    <row r="318" spans="1:3" ht="18" customHeight="1">
      <c r="A318" s="78" t="s">
        <v>619</v>
      </c>
      <c r="B318" s="79">
        <v>11932</v>
      </c>
      <c r="C318" s="81">
        <f>C319+C321+C323</f>
        <v>8231.720000000001</v>
      </c>
    </row>
    <row r="319" spans="1:3" ht="18" customHeight="1">
      <c r="A319" s="78" t="s">
        <v>620</v>
      </c>
      <c r="B319" s="79">
        <v>544</v>
      </c>
      <c r="C319" s="81">
        <f>SUM(C320)</f>
        <v>544</v>
      </c>
    </row>
    <row r="320" spans="1:3" ht="18" customHeight="1">
      <c r="A320" s="78" t="s">
        <v>621</v>
      </c>
      <c r="B320" s="79">
        <v>544</v>
      </c>
      <c r="C320" s="81">
        <v>544</v>
      </c>
    </row>
    <row r="321" spans="1:3" ht="18" customHeight="1">
      <c r="A321" s="78" t="s">
        <v>622</v>
      </c>
      <c r="B321" s="79">
        <v>5537</v>
      </c>
      <c r="C321" s="81">
        <f>SUM(C322)</f>
        <v>5536.72</v>
      </c>
    </row>
    <row r="322" spans="1:3" ht="18" customHeight="1">
      <c r="A322" s="78" t="s">
        <v>623</v>
      </c>
      <c r="B322" s="79">
        <v>5537</v>
      </c>
      <c r="C322" s="81">
        <f>5180+356.72</f>
        <v>5536.72</v>
      </c>
    </row>
    <row r="323" spans="1:3" ht="18" customHeight="1">
      <c r="A323" s="78" t="s">
        <v>624</v>
      </c>
      <c r="B323" s="79">
        <v>5851</v>
      </c>
      <c r="C323" s="81">
        <f>SUM(C324)</f>
        <v>2151</v>
      </c>
    </row>
    <row r="324" spans="1:3" ht="18" customHeight="1">
      <c r="A324" s="78" t="s">
        <v>625</v>
      </c>
      <c r="B324" s="79">
        <v>5851</v>
      </c>
      <c r="C324" s="81">
        <f>1019.97+1131.03</f>
        <v>2151</v>
      </c>
    </row>
    <row r="325" spans="1:3" ht="18" customHeight="1">
      <c r="A325" s="78" t="s">
        <v>626</v>
      </c>
      <c r="B325" s="79">
        <v>14808</v>
      </c>
      <c r="C325" s="81"/>
    </row>
    <row r="326" spans="1:3" ht="18" customHeight="1">
      <c r="A326" s="78" t="s">
        <v>627</v>
      </c>
      <c r="B326" s="79">
        <v>14808</v>
      </c>
      <c r="C326" s="81"/>
    </row>
    <row r="327" spans="1:3" ht="18" customHeight="1">
      <c r="A327" s="78" t="s">
        <v>628</v>
      </c>
      <c r="B327" s="79">
        <v>2006</v>
      </c>
      <c r="C327" s="81"/>
    </row>
    <row r="328" spans="1:3" ht="18" customHeight="1">
      <c r="A328" s="78" t="s">
        <v>629</v>
      </c>
      <c r="B328" s="79">
        <v>2006</v>
      </c>
      <c r="C328" s="81"/>
    </row>
    <row r="329" spans="1:3" ht="18" customHeight="1">
      <c r="A329" s="78" t="s">
        <v>369</v>
      </c>
      <c r="B329" s="79">
        <v>1265</v>
      </c>
      <c r="C329" s="81"/>
    </row>
    <row r="330" spans="1:3" ht="18" customHeight="1">
      <c r="A330" s="78" t="s">
        <v>374</v>
      </c>
      <c r="B330" s="79">
        <v>741</v>
      </c>
      <c r="C330" s="81"/>
    </row>
    <row r="331" spans="1:3" ht="18" customHeight="1">
      <c r="A331" s="78" t="s">
        <v>630</v>
      </c>
      <c r="B331" s="79">
        <v>22923</v>
      </c>
      <c r="C331" s="81">
        <f>C332+C335</f>
        <v>8586</v>
      </c>
    </row>
    <row r="332" spans="1:3" ht="18" customHeight="1">
      <c r="A332" s="78" t="s">
        <v>631</v>
      </c>
      <c r="B332" s="79">
        <v>8586</v>
      </c>
      <c r="C332" s="81">
        <f>SUM(C333:C334)</f>
        <v>8586</v>
      </c>
    </row>
    <row r="333" spans="1:3" ht="18" customHeight="1">
      <c r="A333" s="78" t="s">
        <v>632</v>
      </c>
      <c r="B333" s="79">
        <v>7802</v>
      </c>
      <c r="C333" s="81">
        <f>2720+5082</f>
        <v>7802</v>
      </c>
    </row>
    <row r="334" spans="1:3" ht="18" customHeight="1">
      <c r="A334" s="78" t="s">
        <v>633</v>
      </c>
      <c r="B334" s="79">
        <v>784</v>
      </c>
      <c r="C334" s="81">
        <f>212+572</f>
        <v>784</v>
      </c>
    </row>
    <row r="335" spans="1:3" ht="18" customHeight="1">
      <c r="A335" s="78" t="s">
        <v>634</v>
      </c>
      <c r="B335" s="79">
        <v>14337</v>
      </c>
      <c r="C335" s="81"/>
    </row>
    <row r="336" spans="1:3" ht="18" customHeight="1">
      <c r="A336" s="78" t="s">
        <v>635</v>
      </c>
      <c r="B336" s="79">
        <v>8392</v>
      </c>
      <c r="C336" s="81"/>
    </row>
    <row r="337" spans="1:3" ht="18" customHeight="1">
      <c r="A337" s="78" t="s">
        <v>636</v>
      </c>
      <c r="B337" s="79">
        <v>5945</v>
      </c>
      <c r="C337" s="81"/>
    </row>
    <row r="338" spans="1:3" ht="18" customHeight="1">
      <c r="A338" s="78" t="s">
        <v>637</v>
      </c>
      <c r="B338" s="79">
        <v>4561</v>
      </c>
      <c r="C338" s="81">
        <f>C339</f>
        <v>100</v>
      </c>
    </row>
    <row r="339" spans="1:3" ht="18" customHeight="1">
      <c r="A339" s="78" t="s">
        <v>638</v>
      </c>
      <c r="B339" s="79">
        <v>4561</v>
      </c>
      <c r="C339" s="81">
        <f>SUM(C340)</f>
        <v>100</v>
      </c>
    </row>
    <row r="340" spans="1:3" ht="18" customHeight="1">
      <c r="A340" s="78" t="s">
        <v>639</v>
      </c>
      <c r="B340" s="79">
        <v>4561</v>
      </c>
      <c r="C340" s="81">
        <v>100</v>
      </c>
    </row>
    <row r="341" spans="1:3" ht="18" customHeight="1">
      <c r="A341" s="78" t="s">
        <v>640</v>
      </c>
      <c r="B341" s="79">
        <v>17849</v>
      </c>
      <c r="C341" s="81"/>
    </row>
    <row r="342" spans="1:3" ht="18" customHeight="1">
      <c r="A342" s="78" t="s">
        <v>641</v>
      </c>
      <c r="B342" s="79">
        <v>17849</v>
      </c>
      <c r="C342" s="81"/>
    </row>
    <row r="343" spans="1:3" ht="18" customHeight="1">
      <c r="A343" s="78" t="s">
        <v>642</v>
      </c>
      <c r="B343" s="79">
        <v>17849</v>
      </c>
      <c r="C343" s="81"/>
    </row>
    <row r="344" spans="1:3" ht="18" customHeight="1">
      <c r="A344" s="78" t="s">
        <v>643</v>
      </c>
      <c r="B344" s="79">
        <v>37</v>
      </c>
      <c r="C344" s="81"/>
    </row>
    <row r="345" spans="1:3" ht="18" customHeight="1">
      <c r="A345" s="78" t="s">
        <v>644</v>
      </c>
      <c r="B345" s="79">
        <v>37</v>
      </c>
      <c r="C345" s="81"/>
    </row>
    <row r="346" spans="1:3" ht="19.5" customHeight="1">
      <c r="A346" s="82" t="s">
        <v>49</v>
      </c>
      <c r="B346" s="79">
        <f>B5+B76+B108+B126+B139+B162+B224+B250+B259+B276+B303+B318+B325+B327+B331+B338+B341+B344</f>
        <v>1067154</v>
      </c>
      <c r="C346" s="80">
        <f>C5+C76+C108+C126+C139+C162+C224+C250+C259+C276+C303+C318+C325+C331+C327+C338+C341+C344</f>
        <v>94158.6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zoomScalePageLayoutView="0" workbookViewId="0" topLeftCell="A1">
      <selection activeCell="Q47" sqref="Q47"/>
    </sheetView>
  </sheetViews>
  <sheetFormatPr defaultColWidth="9.00390625" defaultRowHeight="14.25"/>
  <cols>
    <col min="1" max="1" width="31.25390625" style="65" customWidth="1"/>
    <col min="2" max="2" width="15.00390625" style="65" customWidth="1"/>
    <col min="3" max="3" width="15.875" style="65" customWidth="1"/>
    <col min="4" max="4" width="13.625" style="65" customWidth="1"/>
    <col min="5" max="5" width="12.75390625" style="65" hidden="1" customWidth="1"/>
    <col min="6" max="6" width="20.875" style="65" hidden="1" customWidth="1"/>
    <col min="7" max="7" width="16.75390625" style="65" hidden="1" customWidth="1"/>
    <col min="8" max="11" width="0" style="65" hidden="1" customWidth="1"/>
    <col min="12" max="12" width="19.875" style="65" hidden="1" customWidth="1"/>
    <col min="13" max="13" width="0" style="65" hidden="1" customWidth="1"/>
    <col min="14" max="17" width="9.00390625" style="65" customWidth="1"/>
    <col min="18" max="16384" width="9.00390625" style="65" customWidth="1"/>
  </cols>
  <sheetData>
    <row r="1" spans="1:3" s="62" customFormat="1" ht="18" customHeight="1">
      <c r="A1" s="60" t="s">
        <v>679</v>
      </c>
      <c r="B1" s="61"/>
      <c r="C1" s="61"/>
    </row>
    <row r="2" spans="1:4" s="62" customFormat="1" ht="18" customHeight="1">
      <c r="A2" s="148" t="s">
        <v>668</v>
      </c>
      <c r="B2" s="148"/>
      <c r="C2" s="148"/>
      <c r="D2" s="148"/>
    </row>
    <row r="3" spans="1:4" ht="15.75" customHeight="1">
      <c r="A3" s="63"/>
      <c r="B3" s="64"/>
      <c r="D3" s="64" t="s">
        <v>0</v>
      </c>
    </row>
    <row r="4" spans="1:4" ht="30" customHeight="1">
      <c r="A4" s="149" t="s">
        <v>76</v>
      </c>
      <c r="B4" s="151" t="s">
        <v>77</v>
      </c>
      <c r="C4" s="151"/>
      <c r="D4" s="151"/>
    </row>
    <row r="5" spans="1:7" ht="30" customHeight="1">
      <c r="A5" s="150"/>
      <c r="B5" s="75" t="s">
        <v>78</v>
      </c>
      <c r="C5" s="75" t="s">
        <v>79</v>
      </c>
      <c r="D5" s="75" t="s">
        <v>80</v>
      </c>
      <c r="E5" s="66" t="s">
        <v>669</v>
      </c>
      <c r="G5" s="66" t="s">
        <v>670</v>
      </c>
    </row>
    <row r="6" spans="1:13" ht="27" customHeight="1">
      <c r="A6" s="76" t="s">
        <v>64</v>
      </c>
      <c r="B6" s="83">
        <f>55250+60313</f>
        <v>115563</v>
      </c>
      <c r="C6" s="83">
        <f>55250+60313</f>
        <v>115563</v>
      </c>
      <c r="D6" s="83"/>
      <c r="E6" s="65">
        <v>541714262.93</v>
      </c>
      <c r="G6" s="65">
        <v>567064450.18</v>
      </c>
      <c r="L6" s="68" t="s">
        <v>64</v>
      </c>
      <c r="M6" s="67">
        <v>104090.19</v>
      </c>
    </row>
    <row r="7" spans="1:13" ht="27" customHeight="1">
      <c r="A7" s="76" t="s">
        <v>65</v>
      </c>
      <c r="B7" s="83">
        <v>13808</v>
      </c>
      <c r="C7" s="83">
        <v>13808</v>
      </c>
      <c r="D7" s="83"/>
      <c r="E7" s="65">
        <v>57537551.92</v>
      </c>
      <c r="G7" s="65">
        <v>80544128.55</v>
      </c>
      <c r="L7" s="68" t="s">
        <v>65</v>
      </c>
      <c r="M7" s="67">
        <v>13642.35</v>
      </c>
    </row>
    <row r="8" spans="1:13" ht="27" customHeight="1">
      <c r="A8" s="76" t="s">
        <v>66</v>
      </c>
      <c r="B8" s="83">
        <v>14579</v>
      </c>
      <c r="C8" s="83">
        <v>14579</v>
      </c>
      <c r="D8" s="83"/>
      <c r="E8" s="65">
        <v>109203484.56</v>
      </c>
      <c r="G8" s="65">
        <v>36582404.64</v>
      </c>
      <c r="L8" s="68" t="s">
        <v>66</v>
      </c>
      <c r="M8" s="67">
        <v>12689</v>
      </c>
    </row>
    <row r="9" spans="1:13" ht="27" customHeight="1">
      <c r="A9" s="76" t="s">
        <v>67</v>
      </c>
      <c r="B9" s="83">
        <f>37961-6542</f>
        <v>31419</v>
      </c>
      <c r="C9" s="83">
        <f>37961-6542</f>
        <v>31419</v>
      </c>
      <c r="D9" s="83"/>
      <c r="E9" s="65">
        <v>194803267.45</v>
      </c>
      <c r="G9" s="65">
        <v>184803626.34</v>
      </c>
      <c r="L9" s="68" t="s">
        <v>67</v>
      </c>
      <c r="M9" s="67">
        <v>26641.53</v>
      </c>
    </row>
    <row r="10" spans="1:13" ht="27" customHeight="1">
      <c r="A10" s="76" t="s">
        <v>68</v>
      </c>
      <c r="B10" s="83">
        <f>12209+6542</f>
        <v>18751</v>
      </c>
      <c r="C10" s="83">
        <f>12209+6542</f>
        <v>18751</v>
      </c>
      <c r="D10" s="83"/>
      <c r="E10" s="65">
        <v>13488313.33</v>
      </c>
      <c r="F10" s="69" t="s">
        <v>671</v>
      </c>
      <c r="G10" s="65">
        <v>76528270.6</v>
      </c>
      <c r="L10" s="68" t="s">
        <v>68</v>
      </c>
      <c r="M10" s="67">
        <v>19372.55</v>
      </c>
    </row>
    <row r="11" spans="1:13" ht="27" customHeight="1">
      <c r="A11" s="76" t="s">
        <v>69</v>
      </c>
      <c r="B11" s="83">
        <v>7244</v>
      </c>
      <c r="C11" s="83">
        <v>7244</v>
      </c>
      <c r="D11" s="83"/>
      <c r="E11" s="70"/>
      <c r="F11" s="65" t="s">
        <v>672</v>
      </c>
      <c r="G11" s="70"/>
      <c r="L11" s="68" t="s">
        <v>69</v>
      </c>
      <c r="M11" s="67">
        <v>7523.61</v>
      </c>
    </row>
    <row r="12" spans="1:13" ht="27" customHeight="1">
      <c r="A12" s="76" t="s">
        <v>70</v>
      </c>
      <c r="B12" s="83">
        <v>2884</v>
      </c>
      <c r="C12" s="83">
        <v>2884</v>
      </c>
      <c r="D12" s="83"/>
      <c r="G12" s="70"/>
      <c r="L12" s="68" t="s">
        <v>70</v>
      </c>
      <c r="M12" s="67">
        <v>3007.98</v>
      </c>
    </row>
    <row r="13" spans="1:13" ht="27" customHeight="1">
      <c r="A13" s="76" t="s">
        <v>71</v>
      </c>
      <c r="B13" s="83">
        <f>569+3519</f>
        <v>4088</v>
      </c>
      <c r="C13" s="83">
        <v>569</v>
      </c>
      <c r="D13" s="83"/>
      <c r="E13" s="70"/>
      <c r="G13" s="70"/>
      <c r="L13" s="68" t="s">
        <v>71</v>
      </c>
      <c r="M13" s="67">
        <v>5199.6</v>
      </c>
    </row>
    <row r="14" spans="1:13" ht="27" customHeight="1">
      <c r="A14" s="76" t="s">
        <v>72</v>
      </c>
      <c r="B14" s="83">
        <v>238</v>
      </c>
      <c r="C14" s="83">
        <v>238</v>
      </c>
      <c r="D14" s="83"/>
      <c r="G14" s="70"/>
      <c r="L14" s="68" t="s">
        <v>72</v>
      </c>
      <c r="M14" s="67">
        <v>216.03</v>
      </c>
    </row>
    <row r="15" spans="1:13" ht="27" customHeight="1">
      <c r="A15" s="76" t="s">
        <v>73</v>
      </c>
      <c r="B15" s="83">
        <f>8433+154+82</f>
        <v>8669</v>
      </c>
      <c r="C15" s="83">
        <f>8433+154+82</f>
        <v>8669</v>
      </c>
      <c r="D15" s="83"/>
      <c r="G15" s="70"/>
      <c r="L15" s="68" t="s">
        <v>73</v>
      </c>
      <c r="M15" s="67">
        <v>8025.18</v>
      </c>
    </row>
    <row r="16" spans="1:13" ht="27" customHeight="1">
      <c r="A16" s="76" t="s">
        <v>74</v>
      </c>
      <c r="B16" s="83">
        <v>91</v>
      </c>
      <c r="C16" s="83">
        <v>91</v>
      </c>
      <c r="D16" s="83"/>
      <c r="G16" s="70"/>
      <c r="L16" s="68" t="s">
        <v>74</v>
      </c>
      <c r="M16" s="67">
        <v>47.9</v>
      </c>
    </row>
    <row r="17" spans="1:13" ht="27" customHeight="1">
      <c r="A17" s="76" t="s">
        <v>75</v>
      </c>
      <c r="B17" s="83">
        <f>B6-SUM(B7:B16)</f>
        <v>13792</v>
      </c>
      <c r="C17" s="83">
        <f>C6-SUM(C7:C16)</f>
        <v>17311</v>
      </c>
      <c r="D17" s="83"/>
      <c r="E17" s="70"/>
      <c r="F17" s="69" t="s">
        <v>673</v>
      </c>
      <c r="G17" s="70"/>
      <c r="H17" s="69" t="s">
        <v>674</v>
      </c>
      <c r="L17" s="68" t="s">
        <v>75</v>
      </c>
      <c r="M17" s="67">
        <v>7724.43</v>
      </c>
    </row>
    <row r="18" spans="1:13" ht="27" customHeight="1">
      <c r="A18" s="76" t="s">
        <v>81</v>
      </c>
      <c r="B18" s="83">
        <f>12718+10462</f>
        <v>23180</v>
      </c>
      <c r="C18" s="83"/>
      <c r="D18" s="83">
        <f>12718+10462</f>
        <v>23180</v>
      </c>
      <c r="E18" s="70">
        <v>120980919.94</v>
      </c>
      <c r="G18" s="70">
        <v>80274814.74</v>
      </c>
      <c r="L18" s="68" t="s">
        <v>81</v>
      </c>
      <c r="M18" s="67">
        <v>22770.23</v>
      </c>
    </row>
    <row r="19" spans="1:13" ht="27" customHeight="1">
      <c r="A19" s="76" t="s">
        <v>82</v>
      </c>
      <c r="B19" s="83">
        <f>B18-SUM(B20:B41)</f>
        <v>2366.4399999999987</v>
      </c>
      <c r="C19" s="83"/>
      <c r="D19" s="83">
        <f>D18-SUM(D20:D41)</f>
        <v>2377</v>
      </c>
      <c r="E19" s="65">
        <v>4604318.51</v>
      </c>
      <c r="G19" s="65">
        <v>10005629.43</v>
      </c>
      <c r="L19" s="68" t="s">
        <v>82</v>
      </c>
      <c r="M19" s="67">
        <v>2816.45</v>
      </c>
    </row>
    <row r="20" spans="1:13" ht="27" customHeight="1">
      <c r="A20" s="76" t="s">
        <v>83</v>
      </c>
      <c r="B20" s="84">
        <v>852</v>
      </c>
      <c r="C20" s="83"/>
      <c r="D20" s="84">
        <v>852</v>
      </c>
      <c r="E20" s="65">
        <v>3043110.58</v>
      </c>
      <c r="G20" s="65">
        <v>2474617.21</v>
      </c>
      <c r="L20" s="68" t="s">
        <v>83</v>
      </c>
      <c r="M20" s="67">
        <v>916.24</v>
      </c>
    </row>
    <row r="21" spans="1:13" ht="27" customHeight="1">
      <c r="A21" s="76" t="s">
        <v>84</v>
      </c>
      <c r="B21" s="84">
        <v>5</v>
      </c>
      <c r="C21" s="83"/>
      <c r="D21" s="84">
        <v>5</v>
      </c>
      <c r="E21" s="65">
        <v>50000</v>
      </c>
      <c r="G21" s="65">
        <v>263</v>
      </c>
      <c r="L21" s="68" t="s">
        <v>84</v>
      </c>
      <c r="M21" s="67">
        <v>35.2</v>
      </c>
    </row>
    <row r="22" spans="1:13" ht="27" customHeight="1">
      <c r="A22" s="76" t="s">
        <v>86</v>
      </c>
      <c r="B22" s="84">
        <v>472</v>
      </c>
      <c r="C22" s="83"/>
      <c r="D22" s="84">
        <v>472</v>
      </c>
      <c r="E22" s="65">
        <v>698681.9</v>
      </c>
      <c r="G22" s="65">
        <v>1544728.15</v>
      </c>
      <c r="L22" s="68" t="s">
        <v>86</v>
      </c>
      <c r="M22" s="67">
        <v>393.72</v>
      </c>
    </row>
    <row r="23" spans="1:13" ht="27" customHeight="1">
      <c r="A23" s="76" t="s">
        <v>87</v>
      </c>
      <c r="B23" s="84">
        <v>1145</v>
      </c>
      <c r="C23" s="83"/>
      <c r="D23" s="84">
        <v>1145</v>
      </c>
      <c r="E23" s="65">
        <v>5231874.99</v>
      </c>
      <c r="G23" s="65">
        <v>4240744.21</v>
      </c>
      <c r="L23" s="68" t="s">
        <v>87</v>
      </c>
      <c r="M23" s="67">
        <v>1088.98</v>
      </c>
    </row>
    <row r="24" spans="1:13" ht="27" customHeight="1">
      <c r="A24" s="76" t="s">
        <v>88</v>
      </c>
      <c r="B24" s="84">
        <v>780</v>
      </c>
      <c r="C24" s="83"/>
      <c r="D24" s="84">
        <v>780</v>
      </c>
      <c r="E24" s="65">
        <v>5659760.82</v>
      </c>
      <c r="G24" s="65">
        <v>737891.35</v>
      </c>
      <c r="L24" s="68" t="s">
        <v>88</v>
      </c>
      <c r="M24" s="67">
        <v>658.74</v>
      </c>
    </row>
    <row r="25" spans="1:13" ht="27" customHeight="1">
      <c r="A25" s="76" t="s">
        <v>89</v>
      </c>
      <c r="B25" s="84">
        <v>590</v>
      </c>
      <c r="C25" s="83"/>
      <c r="D25" s="84">
        <v>590</v>
      </c>
      <c r="E25" s="65">
        <v>3211611.05</v>
      </c>
      <c r="G25" s="65">
        <v>1286607.27</v>
      </c>
      <c r="L25" s="68" t="s">
        <v>89</v>
      </c>
      <c r="M25" s="67">
        <v>483.99</v>
      </c>
    </row>
    <row r="26" spans="1:13" ht="27" customHeight="1">
      <c r="A26" s="76" t="s">
        <v>90</v>
      </c>
      <c r="B26" s="84">
        <v>221</v>
      </c>
      <c r="C26" s="83"/>
      <c r="D26" s="84">
        <v>221</v>
      </c>
      <c r="E26" s="65">
        <v>1855471.02</v>
      </c>
      <c r="G26" s="65">
        <v>358737.45</v>
      </c>
      <c r="L26" s="68" t="s">
        <v>90</v>
      </c>
      <c r="M26" s="67">
        <v>515.4</v>
      </c>
    </row>
    <row r="27" spans="1:13" ht="27" customHeight="1">
      <c r="A27" s="76" t="s">
        <v>91</v>
      </c>
      <c r="B27" s="84">
        <v>110</v>
      </c>
      <c r="C27" s="83"/>
      <c r="D27" s="84">
        <v>110</v>
      </c>
      <c r="E27" s="65">
        <v>917211.62</v>
      </c>
      <c r="G27" s="65">
        <v>178144.66</v>
      </c>
      <c r="L27" s="68" t="s">
        <v>91</v>
      </c>
      <c r="M27" s="67">
        <v>35</v>
      </c>
    </row>
    <row r="28" spans="1:13" ht="27" customHeight="1">
      <c r="A28" s="76" t="s">
        <v>92</v>
      </c>
      <c r="B28" s="84">
        <v>958</v>
      </c>
      <c r="C28" s="83"/>
      <c r="D28" s="84">
        <v>958</v>
      </c>
      <c r="E28" s="65">
        <v>3258655.54</v>
      </c>
      <c r="G28" s="65">
        <v>6323903.79</v>
      </c>
      <c r="L28" s="68" t="s">
        <v>92</v>
      </c>
      <c r="M28" s="67">
        <v>893.29</v>
      </c>
    </row>
    <row r="29" spans="1:13" ht="27" customHeight="1">
      <c r="A29" s="76" t="s">
        <v>93</v>
      </c>
      <c r="B29" s="84">
        <v>806</v>
      </c>
      <c r="C29" s="83"/>
      <c r="D29" s="84">
        <v>806</v>
      </c>
      <c r="E29" s="65">
        <v>4868651.41</v>
      </c>
      <c r="G29" s="65">
        <v>2195153.81</v>
      </c>
      <c r="L29" s="68" t="s">
        <v>93</v>
      </c>
      <c r="M29" s="67">
        <v>147.86</v>
      </c>
    </row>
    <row r="30" spans="1:13" ht="27" customHeight="1">
      <c r="A30" s="76" t="s">
        <v>94</v>
      </c>
      <c r="B30" s="84">
        <v>48</v>
      </c>
      <c r="C30" s="83"/>
      <c r="D30" s="84">
        <v>48</v>
      </c>
      <c r="E30" s="65">
        <v>448965.23</v>
      </c>
      <c r="G30" s="65">
        <v>570</v>
      </c>
      <c r="L30" s="68" t="s">
        <v>94</v>
      </c>
      <c r="M30" s="67">
        <v>358.5</v>
      </c>
    </row>
    <row r="31" spans="1:13" ht="27" customHeight="1">
      <c r="A31" s="76" t="s">
        <v>95</v>
      </c>
      <c r="B31" s="84">
        <v>347</v>
      </c>
      <c r="C31" s="83"/>
      <c r="D31" s="84">
        <v>347</v>
      </c>
      <c r="E31" s="65">
        <v>1997598.52</v>
      </c>
      <c r="G31" s="65">
        <v>472925.91</v>
      </c>
      <c r="L31" s="68" t="s">
        <v>95</v>
      </c>
      <c r="M31" s="67">
        <v>546.33</v>
      </c>
    </row>
    <row r="32" spans="1:13" ht="27" customHeight="1">
      <c r="A32" s="76" t="s">
        <v>96</v>
      </c>
      <c r="B32" s="84">
        <v>47</v>
      </c>
      <c r="C32" s="83"/>
      <c r="D32" s="84">
        <v>47</v>
      </c>
      <c r="E32" s="65">
        <v>421784</v>
      </c>
      <c r="G32" s="65">
        <v>51606.9</v>
      </c>
      <c r="L32" s="68" t="s">
        <v>96</v>
      </c>
      <c r="M32" s="67">
        <v>390.5</v>
      </c>
    </row>
    <row r="33" spans="1:13" ht="27" customHeight="1">
      <c r="A33" s="76" t="s">
        <v>97</v>
      </c>
      <c r="B33" s="84">
        <v>2157</v>
      </c>
      <c r="C33" s="83"/>
      <c r="D33" s="84">
        <v>2157</v>
      </c>
      <c r="E33" s="65">
        <v>8382615.07</v>
      </c>
      <c r="G33" s="65">
        <v>12190771.73</v>
      </c>
      <c r="L33" s="68" t="s">
        <v>97</v>
      </c>
      <c r="M33" s="67">
        <v>1788.71</v>
      </c>
    </row>
    <row r="34" spans="1:13" ht="27" customHeight="1">
      <c r="A34" s="76" t="s">
        <v>98</v>
      </c>
      <c r="B34" s="84">
        <v>10</v>
      </c>
      <c r="C34" s="83"/>
      <c r="D34" s="84">
        <v>10</v>
      </c>
      <c r="E34" s="65">
        <v>103250.7</v>
      </c>
      <c r="G34" s="65">
        <v>0</v>
      </c>
      <c r="L34" s="68" t="s">
        <v>98</v>
      </c>
      <c r="M34" s="67">
        <v>66.6</v>
      </c>
    </row>
    <row r="35" spans="1:13" ht="27" customHeight="1">
      <c r="A35" s="76" t="s">
        <v>100</v>
      </c>
      <c r="B35" s="84">
        <v>644</v>
      </c>
      <c r="C35" s="83"/>
      <c r="D35" s="84">
        <v>644</v>
      </c>
      <c r="E35" s="65">
        <v>3155700.79</v>
      </c>
      <c r="G35" s="65">
        <v>3288458.08</v>
      </c>
      <c r="L35" s="68" t="s">
        <v>100</v>
      </c>
      <c r="M35" s="67">
        <v>699.86</v>
      </c>
    </row>
    <row r="36" spans="1:13" ht="27" customHeight="1">
      <c r="A36" s="76" t="s">
        <v>101</v>
      </c>
      <c r="B36" s="84">
        <v>2636</v>
      </c>
      <c r="C36" s="83"/>
      <c r="D36" s="84">
        <v>2636</v>
      </c>
      <c r="E36" s="65">
        <v>18269804.72</v>
      </c>
      <c r="G36" s="65">
        <v>7092294.54</v>
      </c>
      <c r="L36" s="68" t="s">
        <v>101</v>
      </c>
      <c r="M36" s="67">
        <v>2448.95</v>
      </c>
    </row>
    <row r="37" spans="1:13" ht="27" customHeight="1">
      <c r="A37" s="76" t="s">
        <v>102</v>
      </c>
      <c r="B37" s="84">
        <v>1672</v>
      </c>
      <c r="C37" s="83"/>
      <c r="D37" s="84">
        <v>1672</v>
      </c>
      <c r="E37" s="65">
        <v>8041318.16</v>
      </c>
      <c r="G37" s="65">
        <v>7674900</v>
      </c>
      <c r="L37" s="68" t="s">
        <v>102</v>
      </c>
      <c r="M37" s="67">
        <v>1827.47</v>
      </c>
    </row>
    <row r="38" spans="1:13" ht="27" customHeight="1">
      <c r="A38" s="76" t="s">
        <v>103</v>
      </c>
      <c r="B38" s="84">
        <v>3235</v>
      </c>
      <c r="C38" s="83"/>
      <c r="D38" s="84">
        <v>3235</v>
      </c>
      <c r="E38" s="65">
        <v>14082028.1</v>
      </c>
      <c r="G38" s="65">
        <v>12229021</v>
      </c>
      <c r="L38" s="68" t="s">
        <v>103</v>
      </c>
      <c r="M38" s="67">
        <v>3547.91</v>
      </c>
    </row>
    <row r="39" spans="1:13" ht="27" customHeight="1">
      <c r="A39" s="76" t="s">
        <v>104</v>
      </c>
      <c r="B39" s="84">
        <v>355.56</v>
      </c>
      <c r="C39" s="83"/>
      <c r="D39" s="84">
        <v>345</v>
      </c>
      <c r="E39" s="70">
        <v>1113820.54</v>
      </c>
      <c r="G39" s="65">
        <v>2339574.33</v>
      </c>
      <c r="L39" s="68" t="s">
        <v>104</v>
      </c>
      <c r="M39" s="67">
        <v>529.2</v>
      </c>
    </row>
    <row r="40" spans="1:13" ht="27" customHeight="1">
      <c r="A40" s="76" t="s">
        <v>105</v>
      </c>
      <c r="B40" s="84">
        <v>816</v>
      </c>
      <c r="C40" s="83"/>
      <c r="D40" s="84">
        <v>816</v>
      </c>
      <c r="E40" s="65">
        <v>268983.44</v>
      </c>
      <c r="G40" s="65">
        <v>7891782.75</v>
      </c>
      <c r="L40" s="68" t="s">
        <v>105</v>
      </c>
      <c r="M40" s="67">
        <v>1360.95</v>
      </c>
    </row>
    <row r="41" spans="1:13" ht="27" customHeight="1">
      <c r="A41" s="76" t="s">
        <v>107</v>
      </c>
      <c r="B41" s="84">
        <v>2907</v>
      </c>
      <c r="C41" s="83"/>
      <c r="D41" s="84">
        <v>2907</v>
      </c>
      <c r="E41" s="65">
        <v>22448567.8</v>
      </c>
      <c r="G41" s="65">
        <v>6621526.3</v>
      </c>
      <c r="L41" s="68" t="s">
        <v>107</v>
      </c>
      <c r="M41" s="67">
        <v>1148.18</v>
      </c>
    </row>
    <row r="42" spans="1:13" ht="27" customHeight="1">
      <c r="A42" s="76" t="s">
        <v>108</v>
      </c>
      <c r="B42" s="83">
        <f>739+454</f>
        <v>1193</v>
      </c>
      <c r="C42" s="83">
        <f>739+454</f>
        <v>1193</v>
      </c>
      <c r="D42" s="83"/>
      <c r="E42" s="71">
        <v>5479822.79</v>
      </c>
      <c r="G42" s="71">
        <v>5367528.08</v>
      </c>
      <c r="L42" s="68" t="s">
        <v>108</v>
      </c>
      <c r="M42" s="67">
        <v>552.4</v>
      </c>
    </row>
    <row r="43" spans="1:13" ht="27" customHeight="1">
      <c r="A43" s="76" t="s">
        <v>675</v>
      </c>
      <c r="B43" s="83">
        <v>20</v>
      </c>
      <c r="C43" s="83">
        <v>20</v>
      </c>
      <c r="D43" s="83"/>
      <c r="E43" s="71"/>
      <c r="G43" s="71"/>
      <c r="L43" s="68"/>
      <c r="M43" s="67"/>
    </row>
    <row r="44" spans="1:13" ht="27" customHeight="1">
      <c r="A44" s="76" t="s">
        <v>676</v>
      </c>
      <c r="B44" s="83">
        <v>609</v>
      </c>
      <c r="C44" s="83">
        <v>609</v>
      </c>
      <c r="D44" s="83"/>
      <c r="E44" s="65">
        <f>96858+1694808.6</f>
        <v>1791666.6</v>
      </c>
      <c r="G44" s="65">
        <f>176599.88+4118251.88</f>
        <v>4294851.76</v>
      </c>
      <c r="L44" s="68" t="s">
        <v>109</v>
      </c>
      <c r="M44" s="67">
        <v>498.27</v>
      </c>
    </row>
    <row r="45" spans="1:13" ht="27" customHeight="1">
      <c r="A45" s="76" t="s">
        <v>677</v>
      </c>
      <c r="B45" s="83">
        <f>43-B46-B47</f>
        <v>17</v>
      </c>
      <c r="C45" s="83">
        <f>43-C46-C47</f>
        <v>17</v>
      </c>
      <c r="D45" s="83"/>
      <c r="E45" s="65">
        <v>5961.2</v>
      </c>
      <c r="G45" s="65">
        <v>167830</v>
      </c>
      <c r="L45" s="68" t="s">
        <v>110</v>
      </c>
      <c r="M45" s="67">
        <v>4.18</v>
      </c>
    </row>
    <row r="46" spans="1:13" ht="27" customHeight="1">
      <c r="A46" s="76" t="s">
        <v>110</v>
      </c>
      <c r="B46" s="83">
        <v>19</v>
      </c>
      <c r="C46" s="83">
        <v>19</v>
      </c>
      <c r="D46" s="83"/>
      <c r="E46" s="65">
        <v>126460</v>
      </c>
      <c r="G46" s="65">
        <v>66160</v>
      </c>
      <c r="L46" s="68" t="s">
        <v>111</v>
      </c>
      <c r="M46" s="67">
        <v>6.74</v>
      </c>
    </row>
    <row r="47" spans="1:13" ht="27" customHeight="1">
      <c r="A47" s="76" t="s">
        <v>111</v>
      </c>
      <c r="B47" s="83">
        <v>7</v>
      </c>
      <c r="C47" s="83">
        <v>7</v>
      </c>
      <c r="D47" s="83"/>
      <c r="E47" s="65">
        <v>29685</v>
      </c>
      <c r="G47" s="65">
        <v>11200</v>
      </c>
      <c r="L47" s="68" t="s">
        <v>114</v>
      </c>
      <c r="M47" s="67">
        <v>328.36</v>
      </c>
    </row>
    <row r="48" spans="1:7" ht="27" customHeight="1">
      <c r="A48" s="76" t="s">
        <v>112</v>
      </c>
      <c r="B48" s="83">
        <f>B42-SUM(B43:B47)</f>
        <v>521</v>
      </c>
      <c r="C48" s="83">
        <f>C42-SUM(C43:C47)</f>
        <v>521</v>
      </c>
      <c r="D48" s="83"/>
      <c r="E48" s="65">
        <v>277309.06</v>
      </c>
      <c r="G48" s="65">
        <v>794573.98</v>
      </c>
    </row>
    <row r="49" spans="1:7" ht="27" customHeight="1">
      <c r="A49" s="76" t="s">
        <v>113</v>
      </c>
      <c r="B49" s="83">
        <f>274</f>
        <v>274</v>
      </c>
      <c r="C49" s="83"/>
      <c r="D49" s="83">
        <f>274</f>
        <v>274</v>
      </c>
      <c r="E49" s="70">
        <v>7897727.43</v>
      </c>
      <c r="G49" s="71">
        <v>24161354.04</v>
      </c>
    </row>
    <row r="50" spans="1:7" ht="27" customHeight="1">
      <c r="A50" s="76" t="s">
        <v>114</v>
      </c>
      <c r="B50" s="83">
        <f>B49-B51</f>
        <v>210</v>
      </c>
      <c r="C50" s="83"/>
      <c r="D50" s="83">
        <f>D49-D51</f>
        <v>210</v>
      </c>
      <c r="E50" s="65">
        <v>5773364.28</v>
      </c>
      <c r="G50" s="65">
        <v>432615</v>
      </c>
    </row>
    <row r="51" spans="1:7" ht="27" customHeight="1">
      <c r="A51" s="76" t="s">
        <v>115</v>
      </c>
      <c r="B51" s="83">
        <v>64</v>
      </c>
      <c r="C51" s="83"/>
      <c r="D51" s="83">
        <v>64</v>
      </c>
      <c r="E51" s="65">
        <v>1893095.29</v>
      </c>
      <c r="G51" s="65">
        <v>0</v>
      </c>
    </row>
    <row r="52" spans="1:4" ht="27" customHeight="1">
      <c r="A52" s="77" t="s">
        <v>49</v>
      </c>
      <c r="B52" s="83">
        <f>B6+B18+B42+B49</f>
        <v>140210</v>
      </c>
      <c r="C52" s="83">
        <f>C6+C18+C42+C49</f>
        <v>116756</v>
      </c>
      <c r="D52" s="83">
        <f>D6+D18+D42+D49</f>
        <v>23454</v>
      </c>
    </row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</sheetData>
  <sheetProtection/>
  <mergeCells count="3">
    <mergeCell ref="A2:D2"/>
    <mergeCell ref="A4:A5"/>
    <mergeCell ref="B4:D4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zoomScalePageLayoutView="0" workbookViewId="0" topLeftCell="A1">
      <selection activeCell="G13" sqref="G13"/>
    </sheetView>
  </sheetViews>
  <sheetFormatPr defaultColWidth="9.00390625" defaultRowHeight="14.25"/>
  <cols>
    <col min="1" max="1" width="30.375" style="0" customWidth="1"/>
    <col min="2" max="2" width="27.00390625" style="0" customWidth="1"/>
    <col min="3" max="3" width="39.00390625" style="0" customWidth="1"/>
    <col min="4" max="4" width="28.25390625" style="0" customWidth="1"/>
  </cols>
  <sheetData>
    <row r="1" ht="23.25" customHeight="1">
      <c r="A1" s="3" t="s">
        <v>16</v>
      </c>
    </row>
    <row r="2" spans="1:4" ht="42" customHeight="1">
      <c r="A2" s="152" t="s">
        <v>56</v>
      </c>
      <c r="B2" s="152"/>
      <c r="C2" s="152"/>
      <c r="D2" s="152"/>
    </row>
    <row r="3" ht="24" customHeight="1">
      <c r="D3" s="72" t="s">
        <v>0</v>
      </c>
    </row>
    <row r="4" spans="1:4" ht="35.25" customHeight="1">
      <c r="A4" s="40" t="s">
        <v>6</v>
      </c>
      <c r="B4" s="40" t="s">
        <v>39</v>
      </c>
      <c r="C4" s="40" t="s">
        <v>6</v>
      </c>
      <c r="D4" s="40" t="s">
        <v>39</v>
      </c>
    </row>
    <row r="5" spans="1:4" ht="35.25" customHeight="1">
      <c r="A5" s="41" t="s">
        <v>40</v>
      </c>
      <c r="B5" s="58">
        <f>SUM(B6:B9)</f>
        <v>1801034.87</v>
      </c>
      <c r="C5" s="41" t="s">
        <v>41</v>
      </c>
      <c r="D5" s="55">
        <f>SUM(D6:D9)</f>
        <v>1757464.21</v>
      </c>
    </row>
    <row r="6" spans="1:4" ht="35.25" customHeight="1">
      <c r="A6" s="41" t="s">
        <v>42</v>
      </c>
      <c r="B6" s="59">
        <f>'2018年一般公共预算收入执行情况表'!C6</f>
        <v>1648585</v>
      </c>
      <c r="C6" s="41" t="s">
        <v>43</v>
      </c>
      <c r="D6" s="55">
        <f>'2018年一般公共预算支出执行情况表'!C24</f>
        <v>972994.9500000001</v>
      </c>
    </row>
    <row r="7" spans="1:4" ht="35.25" customHeight="1">
      <c r="A7" s="41" t="s">
        <v>44</v>
      </c>
      <c r="B7" s="58">
        <v>17322.3</v>
      </c>
      <c r="C7" s="41" t="s">
        <v>690</v>
      </c>
      <c r="D7" s="55">
        <f>'2018年一般公共预算支出执行情况表'!C26</f>
        <v>94159.31</v>
      </c>
    </row>
    <row r="8" spans="1:4" ht="35.25" customHeight="1">
      <c r="A8" s="41" t="s">
        <v>45</v>
      </c>
      <c r="B8" s="58">
        <v>135127.57</v>
      </c>
      <c r="C8" s="41" t="s">
        <v>691</v>
      </c>
      <c r="D8" s="55">
        <v>690309.95</v>
      </c>
    </row>
    <row r="9" spans="1:4" ht="35.25" customHeight="1">
      <c r="A9" s="41" t="s">
        <v>693</v>
      </c>
      <c r="B9" s="58"/>
      <c r="C9" s="41" t="s">
        <v>692</v>
      </c>
      <c r="D9" s="40"/>
    </row>
    <row r="10" spans="1:4" ht="35.25" customHeight="1">
      <c r="A10" s="41"/>
      <c r="B10" s="58"/>
      <c r="C10" s="41"/>
      <c r="D10" s="40"/>
    </row>
    <row r="11" spans="1:4" ht="35.25" customHeight="1">
      <c r="A11" s="41" t="s">
        <v>58</v>
      </c>
      <c r="B11" s="58">
        <f>SUM(B12:B14)</f>
        <v>64864</v>
      </c>
      <c r="C11" s="41" t="s">
        <v>59</v>
      </c>
      <c r="D11" s="55">
        <f>SUM(D12:D14)</f>
        <v>108434.92</v>
      </c>
    </row>
    <row r="12" spans="1:4" ht="35.25" customHeight="1">
      <c r="A12" s="41" t="s">
        <v>46</v>
      </c>
      <c r="B12" s="58">
        <v>14179</v>
      </c>
      <c r="C12" s="41" t="s">
        <v>46</v>
      </c>
      <c r="D12" s="47">
        <v>12038</v>
      </c>
    </row>
    <row r="13" spans="1:4" ht="35.25" customHeight="1">
      <c r="A13" s="41" t="s">
        <v>696</v>
      </c>
      <c r="B13" s="58">
        <v>50685</v>
      </c>
      <c r="C13" s="41" t="s">
        <v>696</v>
      </c>
      <c r="D13" s="46">
        <v>96396.92</v>
      </c>
    </row>
    <row r="14" spans="1:4" ht="35.25" customHeight="1">
      <c r="A14" s="43" t="s">
        <v>48</v>
      </c>
      <c r="B14" s="58"/>
      <c r="C14" s="43" t="s">
        <v>48</v>
      </c>
      <c r="D14" s="40"/>
    </row>
    <row r="15" spans="1:4" ht="35.25" customHeight="1">
      <c r="A15" s="42" t="s">
        <v>47</v>
      </c>
      <c r="B15" s="58">
        <f>SUM(B5,B11)</f>
        <v>1865898.87</v>
      </c>
      <c r="C15" s="42" t="s">
        <v>47</v>
      </c>
      <c r="D15" s="55">
        <f>SUM(D5,D11)</f>
        <v>1865899.13</v>
      </c>
    </row>
  </sheetData>
  <sheetProtection/>
  <mergeCells count="1"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8"/>
  <sheetViews>
    <sheetView zoomScalePageLayoutView="0" workbookViewId="0" topLeftCell="A1">
      <selection activeCell="A1" sqref="A1:IV1"/>
    </sheetView>
  </sheetViews>
  <sheetFormatPr defaultColWidth="9.00390625" defaultRowHeight="14.25"/>
  <cols>
    <col min="1" max="1" width="57.50390625" style="0" bestFit="1" customWidth="1"/>
    <col min="2" max="3" width="18.00390625" style="0" bestFit="1" customWidth="1"/>
  </cols>
  <sheetData>
    <row r="1" spans="1:3" ht="22.5">
      <c r="A1" s="153" t="s">
        <v>759</v>
      </c>
      <c r="B1" s="153"/>
      <c r="C1" s="153"/>
    </row>
    <row r="2" spans="1:3" ht="18.75">
      <c r="A2" s="120"/>
      <c r="B2" s="120"/>
      <c r="C2" s="121" t="s">
        <v>8</v>
      </c>
    </row>
    <row r="3" spans="1:3" ht="18.75">
      <c r="A3" s="122" t="s">
        <v>699</v>
      </c>
      <c r="B3" s="122" t="s">
        <v>700</v>
      </c>
      <c r="C3" s="122" t="s">
        <v>701</v>
      </c>
    </row>
    <row r="4" spans="1:3" ht="18.75">
      <c r="A4" s="123" t="s">
        <v>702</v>
      </c>
      <c r="B4" s="124"/>
      <c r="C4" s="124"/>
    </row>
    <row r="5" spans="1:3" ht="18.75">
      <c r="A5" s="124" t="s">
        <v>703</v>
      </c>
      <c r="B5" s="124">
        <v>9686</v>
      </c>
      <c r="C5" s="124">
        <v>9686</v>
      </c>
    </row>
    <row r="6" spans="1:3" ht="18.75">
      <c r="A6" s="124" t="s">
        <v>704</v>
      </c>
      <c r="B6" s="124"/>
      <c r="C6" s="124"/>
    </row>
    <row r="7" spans="1:3" ht="18.75">
      <c r="A7" s="124" t="s">
        <v>705</v>
      </c>
      <c r="B7" s="124">
        <v>6262</v>
      </c>
      <c r="C7" s="124">
        <v>6262</v>
      </c>
    </row>
    <row r="8" spans="1:3" ht="18.75">
      <c r="A8" s="124" t="s">
        <v>706</v>
      </c>
      <c r="B8" s="124"/>
      <c r="C8" s="124"/>
    </row>
    <row r="9" spans="1:3" ht="18.75">
      <c r="A9" s="124" t="s">
        <v>707</v>
      </c>
      <c r="B9" s="124">
        <v>1374</v>
      </c>
      <c r="C9" s="124">
        <v>1374</v>
      </c>
    </row>
    <row r="10" spans="1:3" ht="18.75">
      <c r="A10" s="123" t="s">
        <v>708</v>
      </c>
      <c r="B10" s="123"/>
      <c r="C10" s="124"/>
    </row>
    <row r="11" spans="1:3" ht="18.75">
      <c r="A11" s="124" t="s">
        <v>709</v>
      </c>
      <c r="B11" s="124"/>
      <c r="C11" s="124"/>
    </row>
    <row r="12" spans="1:3" ht="18.75">
      <c r="A12" s="124" t="s">
        <v>710</v>
      </c>
      <c r="B12" s="124"/>
      <c r="C12" s="124"/>
    </row>
    <row r="13" spans="1:3" ht="18.75">
      <c r="A13" s="124" t="s">
        <v>711</v>
      </c>
      <c r="B13" s="124"/>
      <c r="C13" s="124"/>
    </row>
    <row r="14" spans="1:3" ht="18.75">
      <c r="A14" s="124" t="s">
        <v>712</v>
      </c>
      <c r="B14" s="124">
        <v>10000</v>
      </c>
      <c r="C14" s="124">
        <v>10133</v>
      </c>
    </row>
    <row r="15" spans="1:3" ht="18.75">
      <c r="A15" s="124" t="s">
        <v>713</v>
      </c>
      <c r="B15" s="124"/>
      <c r="C15" s="124"/>
    </row>
    <row r="16" spans="1:3" ht="18.75">
      <c r="A16" s="124" t="s">
        <v>714</v>
      </c>
      <c r="B16" s="124"/>
      <c r="C16" s="124"/>
    </row>
    <row r="17" spans="1:3" ht="18.75">
      <c r="A17" s="124" t="s">
        <v>715</v>
      </c>
      <c r="B17" s="124"/>
      <c r="C17" s="124"/>
    </row>
    <row r="18" spans="1:3" ht="18.75">
      <c r="A18" s="124" t="s">
        <v>716</v>
      </c>
      <c r="B18" s="124"/>
      <c r="C18" s="124"/>
    </row>
    <row r="19" spans="1:3" ht="18.75">
      <c r="A19" s="124" t="s">
        <v>717</v>
      </c>
      <c r="B19" s="124"/>
      <c r="C19" s="124"/>
    </row>
    <row r="20" spans="1:3" ht="18.75">
      <c r="A20" s="124" t="s">
        <v>718</v>
      </c>
      <c r="B20" s="124">
        <v>3000</v>
      </c>
      <c r="C20" s="124">
        <v>2390</v>
      </c>
    </row>
    <row r="21" spans="1:3" ht="18.75">
      <c r="A21" s="124" t="s">
        <v>719</v>
      </c>
      <c r="B21" s="124"/>
      <c r="C21" s="124"/>
    </row>
    <row r="22" spans="1:3" ht="18.75">
      <c r="A22" s="124" t="s">
        <v>720</v>
      </c>
      <c r="B22" s="124"/>
      <c r="C22" s="124"/>
    </row>
    <row r="23" spans="1:3" ht="18.75">
      <c r="A23" s="124" t="s">
        <v>721</v>
      </c>
      <c r="B23" s="124"/>
      <c r="C23" s="124"/>
    </row>
    <row r="24" spans="1:3" ht="18.75">
      <c r="A24" s="124" t="s">
        <v>722</v>
      </c>
      <c r="B24" s="124"/>
      <c r="C24" s="124"/>
    </row>
    <row r="25" spans="1:3" ht="18.75">
      <c r="A25" s="124" t="s">
        <v>723</v>
      </c>
      <c r="B25" s="124"/>
      <c r="C25" s="124"/>
    </row>
    <row r="26" spans="1:3" ht="18.75">
      <c r="A26" s="124" t="s">
        <v>724</v>
      </c>
      <c r="B26" s="124"/>
      <c r="C26" s="124"/>
    </row>
    <row r="27" spans="1:3" ht="18.75">
      <c r="A27" s="124" t="s">
        <v>725</v>
      </c>
      <c r="B27" s="124"/>
      <c r="C27" s="124"/>
    </row>
    <row r="28" spans="1:3" ht="18.75">
      <c r="A28" s="124" t="s">
        <v>726</v>
      </c>
      <c r="B28" s="124"/>
      <c r="C28" s="124"/>
    </row>
    <row r="29" spans="1:3" ht="18.75">
      <c r="A29" s="124" t="s">
        <v>727</v>
      </c>
      <c r="B29" s="124"/>
      <c r="C29" s="124"/>
    </row>
    <row r="30" spans="1:3" ht="18.75">
      <c r="A30" s="124" t="s">
        <v>728</v>
      </c>
      <c r="B30" s="124"/>
      <c r="C30" s="124"/>
    </row>
    <row r="31" spans="1:3" ht="18.75">
      <c r="A31" s="124" t="s">
        <v>729</v>
      </c>
      <c r="B31" s="124"/>
      <c r="C31" s="124"/>
    </row>
    <row r="32" spans="1:3" ht="18.75">
      <c r="A32" s="124" t="s">
        <v>730</v>
      </c>
      <c r="B32" s="124"/>
      <c r="C32" s="124"/>
    </row>
    <row r="33" spans="1:3" ht="18.75">
      <c r="A33" s="124" t="s">
        <v>731</v>
      </c>
      <c r="B33" s="124"/>
      <c r="C33" s="124"/>
    </row>
    <row r="34" spans="1:3" ht="18.75">
      <c r="A34" s="124" t="s">
        <v>732</v>
      </c>
      <c r="B34" s="124"/>
      <c r="C34" s="124"/>
    </row>
    <row r="35" spans="1:3" ht="18.75">
      <c r="A35" s="124" t="s">
        <v>733</v>
      </c>
      <c r="B35" s="124"/>
      <c r="C35" s="124"/>
    </row>
    <row r="36" spans="1:3" ht="18.75">
      <c r="A36" s="124" t="s">
        <v>734</v>
      </c>
      <c r="B36" s="124"/>
      <c r="C36" s="124"/>
    </row>
    <row r="37" spans="1:3" ht="18.75">
      <c r="A37" s="124" t="s">
        <v>735</v>
      </c>
      <c r="B37" s="124">
        <v>2000</v>
      </c>
      <c r="C37" s="124">
        <v>1949</v>
      </c>
    </row>
    <row r="38" spans="1:3" ht="18.75">
      <c r="A38" s="123" t="s">
        <v>736</v>
      </c>
      <c r="B38" s="125">
        <v>32322</v>
      </c>
      <c r="C38" s="124">
        <v>31794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K34" sqref="K34"/>
    </sheetView>
  </sheetViews>
  <sheetFormatPr defaultColWidth="9.00390625" defaultRowHeight="14.25"/>
  <cols>
    <col min="1" max="1" width="30.125" style="0" bestFit="1" customWidth="1"/>
    <col min="2" max="3" width="18.00390625" style="0" bestFit="1" customWidth="1"/>
  </cols>
  <sheetData>
    <row r="1" spans="1:3" ht="22.5">
      <c r="A1" s="154" t="s">
        <v>760</v>
      </c>
      <c r="B1" s="154"/>
      <c r="C1" s="154"/>
    </row>
    <row r="2" spans="1:3" ht="18.75">
      <c r="A2" s="131"/>
      <c r="B2" s="131"/>
      <c r="C2" s="132" t="s">
        <v>8</v>
      </c>
    </row>
    <row r="3" spans="1:3" ht="18.75">
      <c r="A3" s="133" t="s">
        <v>699</v>
      </c>
      <c r="B3" s="133" t="s">
        <v>700</v>
      </c>
      <c r="C3" s="133" t="s">
        <v>701</v>
      </c>
    </row>
    <row r="4" spans="1:3" ht="18.75">
      <c r="A4" s="134" t="s">
        <v>737</v>
      </c>
      <c r="B4" s="134"/>
      <c r="C4" s="134"/>
    </row>
    <row r="5" spans="1:3" ht="18.75">
      <c r="A5" s="134" t="s">
        <v>738</v>
      </c>
      <c r="B5" s="134">
        <v>600</v>
      </c>
      <c r="C5" s="134">
        <v>627</v>
      </c>
    </row>
    <row r="6" spans="1:3" ht="18.75">
      <c r="A6" s="134" t="s">
        <v>739</v>
      </c>
      <c r="B6" s="134"/>
      <c r="C6" s="134">
        <v>0</v>
      </c>
    </row>
    <row r="7" spans="1:3" ht="18.75">
      <c r="A7" s="134" t="s">
        <v>740</v>
      </c>
      <c r="B7" s="134"/>
      <c r="C7" s="134">
        <v>0</v>
      </c>
    </row>
    <row r="8" spans="1:3" ht="18.75">
      <c r="A8" s="134" t="s">
        <v>741</v>
      </c>
      <c r="B8" s="134"/>
      <c r="C8" s="134">
        <v>0</v>
      </c>
    </row>
    <row r="9" spans="1:3" ht="18.75">
      <c r="A9" s="134" t="s">
        <v>742</v>
      </c>
      <c r="B9" s="134">
        <v>24000</v>
      </c>
      <c r="C9" s="134">
        <v>23772</v>
      </c>
    </row>
    <row r="10" spans="1:3" ht="18.75">
      <c r="A10" s="134" t="s">
        <v>743</v>
      </c>
      <c r="B10" s="134">
        <v>16000</v>
      </c>
      <c r="C10" s="134">
        <v>16720</v>
      </c>
    </row>
    <row r="11" spans="1:3" ht="18.75">
      <c r="A11" s="134" t="s">
        <v>744</v>
      </c>
      <c r="B11" s="134">
        <v>1000</v>
      </c>
      <c r="C11" s="134">
        <v>997</v>
      </c>
    </row>
    <row r="12" spans="1:3" ht="18.75">
      <c r="A12" s="134" t="s">
        <v>745</v>
      </c>
      <c r="B12" s="134">
        <v>400</v>
      </c>
      <c r="C12" s="134">
        <v>418</v>
      </c>
    </row>
    <row r="13" spans="1:3" ht="18.75">
      <c r="A13" s="134" t="s">
        <v>746</v>
      </c>
      <c r="B13" s="134">
        <v>500</v>
      </c>
      <c r="C13" s="134">
        <v>657</v>
      </c>
    </row>
    <row r="14" spans="1:3" ht="18.75">
      <c r="A14" s="134" t="s">
        <v>747</v>
      </c>
      <c r="B14" s="134">
        <v>300</v>
      </c>
      <c r="C14" s="134">
        <v>381</v>
      </c>
    </row>
    <row r="15" spans="1:3" ht="18.75">
      <c r="A15" s="134" t="s">
        <v>748</v>
      </c>
      <c r="B15" s="134">
        <v>200</v>
      </c>
      <c r="C15" s="134">
        <v>520</v>
      </c>
    </row>
    <row r="16" spans="1:3" ht="18.75">
      <c r="A16" s="134" t="s">
        <v>749</v>
      </c>
      <c r="B16" s="134">
        <v>600</v>
      </c>
      <c r="C16" s="134">
        <v>589</v>
      </c>
    </row>
    <row r="17" spans="1:3" ht="18.75">
      <c r="A17" s="134" t="s">
        <v>750</v>
      </c>
      <c r="B17" s="134"/>
      <c r="C17" s="134">
        <v>50</v>
      </c>
    </row>
    <row r="18" spans="1:3" ht="18.75">
      <c r="A18" s="134" t="s">
        <v>751</v>
      </c>
      <c r="B18" s="134">
        <v>7000</v>
      </c>
      <c r="C18" s="134">
        <v>6647</v>
      </c>
    </row>
    <row r="19" spans="1:3" ht="18.75">
      <c r="A19" s="134" t="s">
        <v>752</v>
      </c>
      <c r="B19" s="134">
        <v>7000</v>
      </c>
      <c r="C19" s="134">
        <v>7955</v>
      </c>
    </row>
    <row r="20" spans="1:3" ht="18.75">
      <c r="A20" s="134" t="s">
        <v>753</v>
      </c>
      <c r="B20" s="134"/>
      <c r="C20" s="134">
        <v>0</v>
      </c>
    </row>
    <row r="21" spans="1:3" ht="18.75">
      <c r="A21" s="134" t="s">
        <v>754</v>
      </c>
      <c r="B21" s="134"/>
      <c r="C21" s="134">
        <v>0</v>
      </c>
    </row>
    <row r="22" spans="1:3" ht="18.75">
      <c r="A22" s="134" t="s">
        <v>755</v>
      </c>
      <c r="B22" s="134">
        <v>3000</v>
      </c>
      <c r="C22" s="134">
        <v>2932</v>
      </c>
    </row>
    <row r="23" spans="1:3" ht="18.75">
      <c r="A23" s="134" t="s">
        <v>756</v>
      </c>
      <c r="B23" s="134"/>
      <c r="C23" s="134">
        <v>0</v>
      </c>
    </row>
    <row r="24" spans="1:3" ht="18.75">
      <c r="A24" s="134" t="s">
        <v>757</v>
      </c>
      <c r="B24" s="134"/>
      <c r="C24" s="134">
        <v>100</v>
      </c>
    </row>
    <row r="25" spans="1:3" ht="18.75">
      <c r="A25" s="134" t="s">
        <v>758</v>
      </c>
      <c r="B25" s="134">
        <v>60600</v>
      </c>
      <c r="C25" s="134">
        <v>62365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zoomScalePageLayoutView="0" workbookViewId="0" topLeftCell="A1">
      <selection activeCell="A16" sqref="A16"/>
    </sheetView>
  </sheetViews>
  <sheetFormatPr defaultColWidth="9.00390625" defaultRowHeight="14.25"/>
  <cols>
    <col min="1" max="1" width="31.75390625" style="22" customWidth="1"/>
    <col min="2" max="2" width="16.00390625" style="22" customWidth="1"/>
    <col min="3" max="3" width="16.00390625" style="23" customWidth="1"/>
    <col min="4" max="4" width="14.375" style="24" customWidth="1"/>
    <col min="5" max="16384" width="9.00390625" style="25" customWidth="1"/>
  </cols>
  <sheetData>
    <row r="1" ht="18.75" customHeight="1">
      <c r="A1" s="3" t="s">
        <v>38</v>
      </c>
    </row>
    <row r="2" spans="1:4" ht="19.5" customHeight="1">
      <c r="A2" s="139" t="s">
        <v>122</v>
      </c>
      <c r="B2" s="139"/>
      <c r="C2" s="139"/>
      <c r="D2" s="139"/>
    </row>
    <row r="3" spans="1:4" ht="15" customHeight="1">
      <c r="A3" s="139"/>
      <c r="B3" s="139"/>
      <c r="C3" s="139"/>
      <c r="D3" s="139"/>
    </row>
    <row r="4" spans="1:4" ht="19.5" customHeight="1">
      <c r="A4" s="26"/>
      <c r="B4" s="26"/>
      <c r="C4" s="155" t="s">
        <v>8</v>
      </c>
      <c r="D4" s="155"/>
    </row>
    <row r="5" spans="1:4" s="31" customFormat="1" ht="39" customHeight="1">
      <c r="A5" s="29" t="s">
        <v>1</v>
      </c>
      <c r="B5" s="39" t="s">
        <v>123</v>
      </c>
      <c r="C5" s="38" t="s">
        <v>118</v>
      </c>
      <c r="D5" s="30" t="s">
        <v>2</v>
      </c>
    </row>
    <row r="6" spans="1:4" ht="36" customHeight="1">
      <c r="A6" s="32" t="s">
        <v>17</v>
      </c>
      <c r="B6" s="89">
        <f>B7+B13</f>
        <v>1846400</v>
      </c>
      <c r="C6" s="13">
        <f>'2018年一般公共预算收入执行情况表'!C6</f>
        <v>1648585</v>
      </c>
      <c r="D6" s="33">
        <f>SUM(B6/C6-1)*100</f>
        <v>11.999077997191531</v>
      </c>
    </row>
    <row r="7" spans="1:4" ht="36" customHeight="1">
      <c r="A7" s="11" t="s">
        <v>3</v>
      </c>
      <c r="B7" s="89">
        <f>SUM(B8:B12)</f>
        <v>1746400</v>
      </c>
      <c r="C7" s="13">
        <f>'2018年一般公共预算收入执行情况表'!C7</f>
        <v>1559520</v>
      </c>
      <c r="D7" s="33">
        <f aca="true" t="shared" si="0" ref="D7:D18">SUM(B7/C7-1)*100</f>
        <v>11.98317431004412</v>
      </c>
    </row>
    <row r="8" spans="1:4" ht="36" customHeight="1">
      <c r="A8" s="11" t="s">
        <v>32</v>
      </c>
      <c r="B8" s="88">
        <v>708500</v>
      </c>
      <c r="C8" s="13">
        <f>'2018年一般公共预算收入执行情况表'!C8</f>
        <v>617530</v>
      </c>
      <c r="D8" s="33">
        <f t="shared" si="0"/>
        <v>14.731268116528762</v>
      </c>
    </row>
    <row r="9" spans="1:4" ht="36" customHeight="1">
      <c r="A9" s="11" t="s">
        <v>24</v>
      </c>
      <c r="B9" s="87">
        <f>347300+7000</f>
        <v>354300</v>
      </c>
      <c r="C9" s="13">
        <f>'2018年一般公共预算收入执行情况表'!C9</f>
        <v>288610</v>
      </c>
      <c r="D9" s="33">
        <f t="shared" si="0"/>
        <v>22.760819098437345</v>
      </c>
    </row>
    <row r="10" spans="1:4" ht="36" customHeight="1">
      <c r="A10" s="11" t="s">
        <v>25</v>
      </c>
      <c r="B10" s="87">
        <f>359200-7000</f>
        <v>352200</v>
      </c>
      <c r="C10" s="13">
        <f>'2018年一般公共预算收入执行情况表'!C10</f>
        <v>352172</v>
      </c>
      <c r="D10" s="33">
        <f t="shared" si="0"/>
        <v>0.007950660472721971</v>
      </c>
    </row>
    <row r="11" spans="1:4" ht="36" customHeight="1">
      <c r="A11" s="11" t="s">
        <v>26</v>
      </c>
      <c r="B11" s="87">
        <v>127000</v>
      </c>
      <c r="C11" s="13">
        <f>'2018年一般公共预算收入执行情况表'!C11</f>
        <v>112340</v>
      </c>
      <c r="D11" s="33">
        <f t="shared" si="0"/>
        <v>13.049670642691824</v>
      </c>
    </row>
    <row r="12" spans="1:4" ht="36" customHeight="1">
      <c r="A12" s="11" t="s">
        <v>27</v>
      </c>
      <c r="B12" s="87">
        <v>204400</v>
      </c>
      <c r="C12" s="13">
        <f>'2018年一般公共预算收入执行情况表'!C12</f>
        <v>188868</v>
      </c>
      <c r="D12" s="33">
        <f t="shared" si="0"/>
        <v>8.223732977529274</v>
      </c>
    </row>
    <row r="13" spans="1:4" ht="36" customHeight="1">
      <c r="A13" s="11" t="s">
        <v>4</v>
      </c>
      <c r="B13" s="87">
        <f>SUM(B14:B16)</f>
        <v>100000</v>
      </c>
      <c r="C13" s="13">
        <f>'2018年一般公共预算收入执行情况表'!C13</f>
        <v>89065</v>
      </c>
      <c r="D13" s="33">
        <f t="shared" si="0"/>
        <v>12.277550103856738</v>
      </c>
    </row>
    <row r="14" spans="1:4" ht="36" customHeight="1">
      <c r="A14" s="11" t="s">
        <v>5</v>
      </c>
      <c r="B14" s="89">
        <v>96800</v>
      </c>
      <c r="C14" s="13">
        <f>'2018年一般公共预算收入执行情况表'!C14</f>
        <v>85915</v>
      </c>
      <c r="D14" s="33">
        <f t="shared" si="0"/>
        <v>12.669498923354471</v>
      </c>
    </row>
    <row r="15" spans="1:4" ht="36" customHeight="1">
      <c r="A15" s="50" t="s">
        <v>126</v>
      </c>
      <c r="B15" s="13">
        <v>2600</v>
      </c>
      <c r="C15" s="13">
        <f>'2018年一般公共预算收入执行情况表'!C15</f>
        <v>2514</v>
      </c>
      <c r="D15" s="33">
        <f t="shared" si="0"/>
        <v>3.4208432776451803</v>
      </c>
    </row>
    <row r="16" spans="1:4" ht="36" customHeight="1">
      <c r="A16" s="50" t="s">
        <v>127</v>
      </c>
      <c r="B16" s="13">
        <v>600</v>
      </c>
      <c r="C16" s="13">
        <f>'2018年一般公共预算收入执行情况表'!C16</f>
        <v>636</v>
      </c>
      <c r="D16" s="33">
        <f t="shared" si="0"/>
        <v>-5.660377358490565</v>
      </c>
    </row>
    <row r="17" spans="1:4" ht="36" customHeight="1">
      <c r="A17" s="19" t="s">
        <v>31</v>
      </c>
      <c r="B17" s="87">
        <v>1769100</v>
      </c>
      <c r="C17" s="13">
        <f>'2018年一般公共预算收入执行情况表'!C17</f>
        <v>1579478</v>
      </c>
      <c r="D17" s="33">
        <f t="shared" si="0"/>
        <v>12.005358732441973</v>
      </c>
    </row>
    <row r="18" spans="1:4" ht="36" customHeight="1">
      <c r="A18" s="32" t="s">
        <v>7</v>
      </c>
      <c r="B18" s="20">
        <f>B17+B6</f>
        <v>3615500</v>
      </c>
      <c r="C18" s="13">
        <f>'2018年一般公共预算收入执行情况表'!C18</f>
        <v>3228063</v>
      </c>
      <c r="D18" s="33">
        <f t="shared" si="0"/>
        <v>12.002151135216387</v>
      </c>
    </row>
    <row r="19" spans="2:5" ht="14.25">
      <c r="B19" s="35"/>
      <c r="C19" s="35"/>
      <c r="D19" s="35"/>
      <c r="E19" s="35"/>
    </row>
    <row r="20" spans="2:5" ht="14.25">
      <c r="B20" s="35"/>
      <c r="C20" s="35"/>
      <c r="D20" s="35"/>
      <c r="E20" s="35"/>
    </row>
  </sheetData>
  <sheetProtection/>
  <mergeCells count="2">
    <mergeCell ref="A2:D3"/>
    <mergeCell ref="C4:D4"/>
  </mergeCells>
  <printOptions horizontalCentered="1"/>
  <pageMargins left="0.5511811023622047" right="0.5511811023622047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夏继东</dc:creator>
  <cp:keywords/>
  <dc:description/>
  <cp:lastModifiedBy>lenovo</cp:lastModifiedBy>
  <cp:lastPrinted>2019-01-06T06:52:39Z</cp:lastPrinted>
  <dcterms:created xsi:type="dcterms:W3CDTF">2012-07-03T01:23:35Z</dcterms:created>
  <dcterms:modified xsi:type="dcterms:W3CDTF">2021-05-28T15:29:15Z</dcterms:modified>
  <cp:category/>
  <cp:version/>
  <cp:contentType/>
  <cp:contentStatus/>
</cp:coreProperties>
</file>